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755" activeTab="5"/>
  </bookViews>
  <sheets>
    <sheet name="Perhitungan IHDI" sheetId="1" r:id="rId1"/>
    <sheet name="IHDI 2015 - 2020" sheetId="5" r:id="rId2"/>
    <sheet name="Panel Data" sheetId="7" r:id="rId3"/>
    <sheet name="DOMINV" sheetId="8" r:id="rId4"/>
    <sheet name="FORINV" sheetId="9" r:id="rId5"/>
    <sheet name="GOVEX" sheetId="10" r:id="rId6"/>
  </sheets>
  <calcPr calcId="144525"/>
</workbook>
</file>

<file path=xl/calcChain.xml><?xml version="1.0" encoding="utf-8"?>
<calcChain xmlns="http://schemas.openxmlformats.org/spreadsheetml/2006/main">
  <c r="O210" i="1" l="1"/>
  <c r="S210" i="1"/>
  <c r="H210" i="1"/>
  <c r="S209" i="1"/>
  <c r="O209" i="1"/>
  <c r="H209" i="1"/>
  <c r="F22" i="5" l="1"/>
  <c r="D16" i="5"/>
  <c r="E16" i="5"/>
  <c r="F16" i="5"/>
  <c r="G16" i="5"/>
  <c r="H16" i="5"/>
  <c r="D17" i="5"/>
  <c r="E17" i="5"/>
  <c r="F17" i="5"/>
  <c r="G17" i="5"/>
  <c r="H17" i="5"/>
  <c r="D18" i="5"/>
  <c r="E18" i="5"/>
  <c r="F18" i="5"/>
  <c r="G18" i="5"/>
  <c r="H18" i="5"/>
  <c r="D19" i="5"/>
  <c r="E19" i="5"/>
  <c r="F19" i="5"/>
  <c r="G19" i="5"/>
  <c r="H19" i="5"/>
  <c r="D20" i="5"/>
  <c r="E20" i="5"/>
  <c r="F20" i="5"/>
  <c r="G20" i="5"/>
  <c r="H20" i="5"/>
  <c r="D21" i="5"/>
  <c r="E21" i="5"/>
  <c r="F21" i="5"/>
  <c r="G21" i="5"/>
  <c r="H21" i="5"/>
  <c r="D22" i="5"/>
  <c r="E22" i="5"/>
  <c r="G22" i="5"/>
  <c r="H22" i="5"/>
  <c r="D23" i="5"/>
  <c r="E23" i="5"/>
  <c r="F23" i="5"/>
  <c r="G23" i="5"/>
  <c r="H23" i="5"/>
  <c r="D24" i="5"/>
  <c r="E24" i="5"/>
  <c r="F24" i="5"/>
  <c r="G24" i="5"/>
  <c r="H24" i="5"/>
  <c r="D25" i="5"/>
  <c r="E25" i="5"/>
  <c r="F25" i="5"/>
  <c r="G25" i="5"/>
  <c r="H25" i="5"/>
  <c r="D26" i="5"/>
  <c r="E26" i="5"/>
  <c r="F26" i="5"/>
  <c r="G26" i="5"/>
  <c r="H26" i="5"/>
  <c r="D27" i="5"/>
  <c r="E27" i="5"/>
  <c r="F27" i="5"/>
  <c r="G27" i="5"/>
  <c r="H27" i="5"/>
  <c r="D28" i="5"/>
  <c r="E28" i="5"/>
  <c r="F28" i="5"/>
  <c r="G28" i="5"/>
  <c r="H28" i="5"/>
  <c r="D29" i="5"/>
  <c r="E29" i="5"/>
  <c r="F29" i="5"/>
  <c r="G29" i="5"/>
  <c r="H29" i="5"/>
  <c r="D30" i="5"/>
  <c r="E30" i="5"/>
  <c r="F30" i="5"/>
  <c r="G30" i="5"/>
  <c r="H30" i="5"/>
  <c r="D31" i="5"/>
  <c r="E31" i="5"/>
  <c r="F31" i="5"/>
  <c r="G31" i="5"/>
  <c r="H31" i="5"/>
  <c r="D32" i="5"/>
  <c r="E32" i="5"/>
  <c r="F32" i="5"/>
  <c r="G32" i="5"/>
  <c r="H32" i="5"/>
  <c r="D33" i="5"/>
  <c r="E33" i="5"/>
  <c r="F33" i="5"/>
  <c r="G33" i="5"/>
  <c r="H33" i="5"/>
  <c r="D34" i="5"/>
  <c r="E34" i="5"/>
  <c r="F34" i="5"/>
  <c r="G34" i="5"/>
  <c r="H34" i="5"/>
  <c r="D35" i="5"/>
  <c r="E35" i="5"/>
  <c r="F35" i="5"/>
  <c r="G35" i="5"/>
  <c r="H35" i="5"/>
  <c r="D36" i="5"/>
  <c r="E36" i="5"/>
  <c r="F36" i="5"/>
  <c r="G36" i="5"/>
  <c r="H36" i="5"/>
  <c r="D37" i="5"/>
  <c r="E37" i="5"/>
  <c r="F37" i="5"/>
  <c r="G37" i="5"/>
  <c r="H37" i="5"/>
  <c r="C37" i="5"/>
  <c r="I37" i="5" s="1"/>
  <c r="C36" i="5"/>
  <c r="I36" i="5" s="1"/>
  <c r="C35" i="5"/>
  <c r="I35" i="5" s="1"/>
  <c r="C34" i="5"/>
  <c r="I34" i="5" s="1"/>
  <c r="C33" i="5"/>
  <c r="I33" i="5" s="1"/>
  <c r="C32" i="5"/>
  <c r="I32" i="5" s="1"/>
  <c r="C31" i="5"/>
  <c r="I31" i="5" s="1"/>
  <c r="C30" i="5"/>
  <c r="I30" i="5" s="1"/>
  <c r="C29" i="5"/>
  <c r="I29" i="5" s="1"/>
  <c r="C28" i="5"/>
  <c r="I28" i="5" s="1"/>
  <c r="C27" i="5"/>
  <c r="I27" i="5" s="1"/>
  <c r="C26" i="5"/>
  <c r="I26" i="5" s="1"/>
  <c r="C25" i="5"/>
  <c r="I25" i="5" s="1"/>
  <c r="C24" i="5"/>
  <c r="I24" i="5" s="1"/>
  <c r="C23" i="5"/>
  <c r="I23" i="5" s="1"/>
  <c r="C22" i="5"/>
  <c r="I22" i="5" s="1"/>
  <c r="C21" i="5"/>
  <c r="I21" i="5" s="1"/>
  <c r="C20" i="5"/>
  <c r="I20" i="5" s="1"/>
  <c r="C19" i="5"/>
  <c r="I19" i="5" s="1"/>
  <c r="C18" i="5"/>
  <c r="I18" i="5" s="1"/>
  <c r="C17" i="5"/>
  <c r="I17" i="5" s="1"/>
  <c r="C16" i="5"/>
  <c r="I16" i="5" s="1"/>
  <c r="D15" i="5"/>
  <c r="E15" i="5"/>
  <c r="F15" i="5"/>
  <c r="G15" i="5"/>
  <c r="H15" i="5"/>
  <c r="C15" i="5"/>
  <c r="D14" i="5"/>
  <c r="E14" i="5"/>
  <c r="F14" i="5"/>
  <c r="G14" i="5"/>
  <c r="H14" i="5"/>
  <c r="C14" i="5"/>
  <c r="D13" i="5"/>
  <c r="E13" i="5"/>
  <c r="F13" i="5"/>
  <c r="G13" i="5"/>
  <c r="H13" i="5"/>
  <c r="C13" i="5"/>
  <c r="D12" i="5"/>
  <c r="E12" i="5"/>
  <c r="F12" i="5"/>
  <c r="G12" i="5"/>
  <c r="H12" i="5"/>
  <c r="C12" i="5"/>
  <c r="I12" i="5" s="1"/>
  <c r="D11" i="5"/>
  <c r="E11" i="5"/>
  <c r="F11" i="5"/>
  <c r="G11" i="5"/>
  <c r="H11" i="5"/>
  <c r="C11" i="5"/>
  <c r="D10" i="5"/>
  <c r="E10" i="5"/>
  <c r="F10" i="5"/>
  <c r="G10" i="5"/>
  <c r="H10" i="5"/>
  <c r="C10" i="5"/>
  <c r="I10" i="5" s="1"/>
  <c r="D9" i="5"/>
  <c r="E9" i="5"/>
  <c r="F9" i="5"/>
  <c r="G9" i="5"/>
  <c r="H9" i="5"/>
  <c r="C9" i="5"/>
  <c r="D8" i="5"/>
  <c r="E8" i="5"/>
  <c r="F8" i="5"/>
  <c r="G8" i="5"/>
  <c r="H8" i="5"/>
  <c r="C8" i="5"/>
  <c r="I8" i="5" s="1"/>
  <c r="C7" i="5"/>
  <c r="D7" i="5"/>
  <c r="E7" i="5"/>
  <c r="F7" i="5"/>
  <c r="G7" i="5"/>
  <c r="H7" i="5"/>
  <c r="D6" i="5"/>
  <c r="E6" i="5"/>
  <c r="F6" i="5"/>
  <c r="G6" i="5"/>
  <c r="H6" i="5"/>
  <c r="C6" i="5"/>
  <c r="I6" i="5" s="1"/>
  <c r="D5" i="5"/>
  <c r="E5" i="5"/>
  <c r="F5" i="5"/>
  <c r="G5" i="5"/>
  <c r="H5" i="5"/>
  <c r="C5" i="5"/>
  <c r="D4" i="5"/>
  <c r="E4" i="5"/>
  <c r="F4" i="5"/>
  <c r="G4" i="5"/>
  <c r="H4" i="5"/>
  <c r="C4" i="5"/>
  <c r="I4" i="5" s="1"/>
  <c r="C44" i="8"/>
  <c r="I2" i="7"/>
  <c r="J2" i="7"/>
  <c r="K2" i="7"/>
  <c r="I3" i="7"/>
  <c r="J3" i="7"/>
  <c r="K3" i="7"/>
  <c r="I4" i="7"/>
  <c r="J4" i="7"/>
  <c r="K4" i="7"/>
  <c r="I5" i="7"/>
  <c r="J5" i="7"/>
  <c r="K5" i="7"/>
  <c r="I6" i="7"/>
  <c r="J6" i="7"/>
  <c r="K6" i="7"/>
  <c r="I7" i="7"/>
  <c r="J7" i="7"/>
  <c r="K7" i="7"/>
  <c r="I8" i="7"/>
  <c r="J8" i="7"/>
  <c r="K8" i="7"/>
  <c r="I9" i="7"/>
  <c r="J9" i="7"/>
  <c r="K9" i="7"/>
  <c r="I10" i="7"/>
  <c r="J10" i="7"/>
  <c r="K10" i="7"/>
  <c r="I11" i="7"/>
  <c r="J11" i="7"/>
  <c r="K11" i="7"/>
  <c r="I12" i="7"/>
  <c r="J12" i="7"/>
  <c r="K12" i="7"/>
  <c r="I13" i="7"/>
  <c r="J13" i="7"/>
  <c r="K13" i="7"/>
  <c r="I14" i="7"/>
  <c r="J14" i="7"/>
  <c r="K14" i="7"/>
  <c r="I15" i="7"/>
  <c r="J15" i="7"/>
  <c r="K15" i="7"/>
  <c r="I16" i="7"/>
  <c r="J16" i="7"/>
  <c r="K16" i="7"/>
  <c r="I17" i="7"/>
  <c r="J17" i="7"/>
  <c r="K17" i="7"/>
  <c r="I18" i="7"/>
  <c r="J18" i="7"/>
  <c r="K18" i="7"/>
  <c r="I19" i="7"/>
  <c r="J19" i="7"/>
  <c r="K19" i="7"/>
  <c r="I20" i="7"/>
  <c r="J20" i="7"/>
  <c r="K20" i="7"/>
  <c r="I21" i="7"/>
  <c r="J21" i="7"/>
  <c r="K21" i="7"/>
  <c r="I22" i="7"/>
  <c r="J22" i="7"/>
  <c r="K22" i="7"/>
  <c r="I23" i="7"/>
  <c r="J23" i="7"/>
  <c r="K23" i="7"/>
  <c r="I24" i="7"/>
  <c r="J24" i="7"/>
  <c r="K24" i="7"/>
  <c r="I25" i="7"/>
  <c r="J25" i="7"/>
  <c r="K25" i="7"/>
  <c r="I26" i="7"/>
  <c r="J26" i="7"/>
  <c r="K26" i="7"/>
  <c r="I27" i="7"/>
  <c r="J27" i="7"/>
  <c r="K27" i="7"/>
  <c r="I28" i="7"/>
  <c r="J28" i="7"/>
  <c r="K28" i="7"/>
  <c r="I29" i="7"/>
  <c r="J29" i="7"/>
  <c r="K29" i="7"/>
  <c r="I30" i="7"/>
  <c r="J30" i="7"/>
  <c r="K30" i="7"/>
  <c r="I31" i="7"/>
  <c r="J31" i="7"/>
  <c r="K31" i="7"/>
  <c r="I32" i="7"/>
  <c r="J32" i="7"/>
  <c r="K32" i="7"/>
  <c r="I33" i="7"/>
  <c r="J33" i="7"/>
  <c r="K33" i="7"/>
  <c r="I34" i="7"/>
  <c r="J34" i="7"/>
  <c r="K34" i="7"/>
  <c r="I35" i="7"/>
  <c r="J35" i="7"/>
  <c r="K35" i="7"/>
  <c r="I36" i="7"/>
  <c r="J36" i="7"/>
  <c r="K36" i="7"/>
  <c r="I37" i="7"/>
  <c r="J37" i="7"/>
  <c r="K37" i="7"/>
  <c r="I38" i="7"/>
  <c r="J38" i="7"/>
  <c r="K38" i="7"/>
  <c r="I39" i="7"/>
  <c r="J39" i="7"/>
  <c r="K39" i="7"/>
  <c r="I40" i="7"/>
  <c r="J40" i="7"/>
  <c r="K40" i="7"/>
  <c r="I41" i="7"/>
  <c r="J41" i="7"/>
  <c r="K41" i="7"/>
  <c r="I42" i="7"/>
  <c r="J42" i="7"/>
  <c r="K42" i="7"/>
  <c r="I43" i="7"/>
  <c r="J43" i="7"/>
  <c r="K43" i="7"/>
  <c r="I44" i="7"/>
  <c r="J44" i="7"/>
  <c r="K44" i="7"/>
  <c r="I45" i="7"/>
  <c r="J45" i="7"/>
  <c r="K45" i="7"/>
  <c r="I46" i="7"/>
  <c r="J46" i="7"/>
  <c r="K46" i="7"/>
  <c r="I47" i="7"/>
  <c r="J47" i="7"/>
  <c r="K47" i="7"/>
  <c r="I48" i="7"/>
  <c r="J48" i="7"/>
  <c r="K48" i="7"/>
  <c r="I49" i="7"/>
  <c r="J49" i="7"/>
  <c r="K49" i="7"/>
  <c r="I50" i="7"/>
  <c r="J50" i="7"/>
  <c r="K50" i="7"/>
  <c r="I51" i="7"/>
  <c r="J51" i="7"/>
  <c r="K51" i="7"/>
  <c r="I52" i="7"/>
  <c r="J52" i="7"/>
  <c r="K52" i="7"/>
  <c r="I53" i="7"/>
  <c r="J53" i="7"/>
  <c r="K53" i="7"/>
  <c r="I54" i="7"/>
  <c r="J54" i="7"/>
  <c r="K54" i="7"/>
  <c r="I55" i="7"/>
  <c r="J55" i="7"/>
  <c r="K55" i="7"/>
  <c r="I56" i="7"/>
  <c r="J56" i="7"/>
  <c r="K56" i="7"/>
  <c r="I57" i="7"/>
  <c r="J57" i="7"/>
  <c r="K57" i="7"/>
  <c r="I58" i="7"/>
  <c r="J58" i="7"/>
  <c r="K58" i="7"/>
  <c r="I59" i="7"/>
  <c r="J59" i="7"/>
  <c r="K59" i="7"/>
  <c r="I60" i="7"/>
  <c r="J60" i="7"/>
  <c r="K60" i="7"/>
  <c r="I61" i="7"/>
  <c r="J61" i="7"/>
  <c r="K61" i="7"/>
  <c r="I62" i="7"/>
  <c r="J62" i="7"/>
  <c r="K62" i="7"/>
  <c r="I63" i="7"/>
  <c r="J63" i="7"/>
  <c r="K63" i="7"/>
  <c r="I64" i="7"/>
  <c r="J64" i="7"/>
  <c r="K64" i="7"/>
  <c r="I65" i="7"/>
  <c r="J65" i="7"/>
  <c r="K65" i="7"/>
  <c r="I66" i="7"/>
  <c r="J66" i="7"/>
  <c r="K66" i="7"/>
  <c r="I67" i="7"/>
  <c r="J67" i="7"/>
  <c r="K67" i="7"/>
  <c r="I68" i="7"/>
  <c r="J68" i="7"/>
  <c r="K68" i="7"/>
  <c r="I69" i="7"/>
  <c r="J69" i="7"/>
  <c r="K69" i="7"/>
  <c r="I70" i="7"/>
  <c r="J70" i="7"/>
  <c r="K70" i="7"/>
  <c r="I71" i="7"/>
  <c r="J71" i="7"/>
  <c r="K71" i="7"/>
  <c r="I72" i="7"/>
  <c r="J72" i="7"/>
  <c r="K72" i="7"/>
  <c r="I73" i="7"/>
  <c r="J73" i="7"/>
  <c r="K73" i="7"/>
  <c r="I74" i="7"/>
  <c r="J74" i="7"/>
  <c r="K74" i="7"/>
  <c r="I75" i="7"/>
  <c r="J75" i="7"/>
  <c r="K75" i="7"/>
  <c r="I76" i="7"/>
  <c r="J76" i="7"/>
  <c r="K76" i="7"/>
  <c r="I77" i="7"/>
  <c r="J77" i="7"/>
  <c r="K77" i="7"/>
  <c r="I78" i="7"/>
  <c r="J78" i="7"/>
  <c r="K78" i="7"/>
  <c r="I79" i="7"/>
  <c r="J79" i="7"/>
  <c r="K79" i="7"/>
  <c r="I80" i="7"/>
  <c r="J80" i="7"/>
  <c r="K80" i="7"/>
  <c r="I81" i="7"/>
  <c r="J81" i="7"/>
  <c r="K81" i="7"/>
  <c r="I82" i="7"/>
  <c r="J82" i="7"/>
  <c r="K82" i="7"/>
  <c r="I83" i="7"/>
  <c r="J83" i="7"/>
  <c r="K83" i="7"/>
  <c r="I84" i="7"/>
  <c r="J84" i="7"/>
  <c r="K84" i="7"/>
  <c r="I85" i="7"/>
  <c r="J85" i="7"/>
  <c r="K85" i="7"/>
  <c r="I86" i="7"/>
  <c r="J86" i="7"/>
  <c r="K86" i="7"/>
  <c r="I87" i="7"/>
  <c r="J87" i="7"/>
  <c r="K87" i="7"/>
  <c r="I88" i="7"/>
  <c r="J88" i="7"/>
  <c r="K88" i="7"/>
  <c r="I89" i="7"/>
  <c r="J89" i="7"/>
  <c r="K89" i="7"/>
  <c r="I90" i="7"/>
  <c r="J90" i="7"/>
  <c r="K90" i="7"/>
  <c r="I91" i="7"/>
  <c r="J91" i="7"/>
  <c r="K91" i="7"/>
  <c r="I92" i="7"/>
  <c r="J92" i="7"/>
  <c r="K92" i="7"/>
  <c r="I93" i="7"/>
  <c r="J93" i="7"/>
  <c r="K93" i="7"/>
  <c r="I94" i="7"/>
  <c r="J94" i="7"/>
  <c r="K94" i="7"/>
  <c r="I95" i="7"/>
  <c r="J95" i="7"/>
  <c r="K95" i="7"/>
  <c r="I96" i="7"/>
  <c r="J96" i="7"/>
  <c r="K96" i="7"/>
  <c r="I97" i="7"/>
  <c r="J97" i="7"/>
  <c r="K97" i="7"/>
  <c r="I98" i="7"/>
  <c r="J98" i="7"/>
  <c r="K98" i="7"/>
  <c r="I99" i="7"/>
  <c r="J99" i="7"/>
  <c r="K99" i="7"/>
  <c r="I100" i="7"/>
  <c r="J100" i="7"/>
  <c r="K100" i="7"/>
  <c r="I101" i="7"/>
  <c r="J101" i="7"/>
  <c r="K101" i="7"/>
  <c r="I102" i="7"/>
  <c r="J102" i="7"/>
  <c r="K102" i="7"/>
  <c r="I103" i="7"/>
  <c r="J103" i="7"/>
  <c r="K103" i="7"/>
  <c r="I104" i="7"/>
  <c r="J104" i="7"/>
  <c r="K104" i="7"/>
  <c r="I105" i="7"/>
  <c r="J105" i="7"/>
  <c r="K105" i="7"/>
  <c r="I106" i="7"/>
  <c r="J106" i="7"/>
  <c r="K106" i="7"/>
  <c r="I107" i="7"/>
  <c r="J107" i="7"/>
  <c r="K107" i="7"/>
  <c r="I108" i="7"/>
  <c r="J108" i="7"/>
  <c r="K108" i="7"/>
  <c r="I109" i="7"/>
  <c r="J109" i="7"/>
  <c r="K109" i="7"/>
  <c r="I110" i="7"/>
  <c r="J110" i="7"/>
  <c r="K110" i="7"/>
  <c r="I111" i="7"/>
  <c r="J111" i="7"/>
  <c r="K111" i="7"/>
  <c r="I112" i="7"/>
  <c r="J112" i="7"/>
  <c r="K112" i="7"/>
  <c r="I113" i="7"/>
  <c r="J113" i="7"/>
  <c r="K113" i="7"/>
  <c r="I114" i="7"/>
  <c r="J114" i="7"/>
  <c r="K114" i="7"/>
  <c r="I115" i="7"/>
  <c r="J115" i="7"/>
  <c r="K115" i="7"/>
  <c r="I116" i="7"/>
  <c r="J116" i="7"/>
  <c r="K116" i="7"/>
  <c r="I117" i="7"/>
  <c r="J117" i="7"/>
  <c r="K117" i="7"/>
  <c r="I118" i="7"/>
  <c r="J118" i="7"/>
  <c r="K118" i="7"/>
  <c r="I119" i="7"/>
  <c r="J119" i="7"/>
  <c r="K119" i="7"/>
  <c r="I120" i="7"/>
  <c r="J120" i="7"/>
  <c r="K120" i="7"/>
  <c r="I121" i="7"/>
  <c r="J121" i="7"/>
  <c r="K121" i="7"/>
  <c r="I122" i="7"/>
  <c r="J122" i="7"/>
  <c r="K122" i="7"/>
  <c r="I123" i="7"/>
  <c r="J123" i="7"/>
  <c r="K123" i="7"/>
  <c r="I124" i="7"/>
  <c r="J124" i="7"/>
  <c r="K124" i="7"/>
  <c r="I125" i="7"/>
  <c r="J125" i="7"/>
  <c r="K125" i="7"/>
  <c r="I126" i="7"/>
  <c r="J126" i="7"/>
  <c r="K126" i="7"/>
  <c r="I127" i="7"/>
  <c r="J127" i="7"/>
  <c r="K127" i="7"/>
  <c r="I128" i="7"/>
  <c r="J128" i="7"/>
  <c r="K128" i="7"/>
  <c r="I129" i="7"/>
  <c r="J129" i="7"/>
  <c r="K129" i="7"/>
  <c r="I130" i="7"/>
  <c r="J130" i="7"/>
  <c r="K130" i="7"/>
  <c r="I131" i="7"/>
  <c r="J131" i="7"/>
  <c r="K131" i="7"/>
  <c r="I132" i="7"/>
  <c r="J132" i="7"/>
  <c r="K132" i="7"/>
  <c r="I133" i="7"/>
  <c r="J133" i="7"/>
  <c r="K133" i="7"/>
  <c r="I134" i="7"/>
  <c r="J134" i="7"/>
  <c r="K134" i="7"/>
  <c r="I135" i="7"/>
  <c r="J135" i="7"/>
  <c r="K135" i="7"/>
  <c r="I136" i="7"/>
  <c r="J136" i="7"/>
  <c r="K136" i="7"/>
  <c r="I137" i="7"/>
  <c r="J137" i="7"/>
  <c r="K137" i="7"/>
  <c r="I138" i="7"/>
  <c r="J138" i="7"/>
  <c r="K138" i="7"/>
  <c r="I139" i="7"/>
  <c r="J139" i="7"/>
  <c r="K139" i="7"/>
  <c r="I140" i="7"/>
  <c r="J140" i="7"/>
  <c r="K140" i="7"/>
  <c r="I141" i="7"/>
  <c r="J141" i="7"/>
  <c r="K141" i="7"/>
  <c r="I142" i="7"/>
  <c r="J142" i="7"/>
  <c r="K142" i="7"/>
  <c r="I143" i="7"/>
  <c r="J143" i="7"/>
  <c r="K143" i="7"/>
  <c r="I144" i="7"/>
  <c r="J144" i="7"/>
  <c r="K144" i="7"/>
  <c r="I145" i="7"/>
  <c r="J145" i="7"/>
  <c r="K145" i="7"/>
  <c r="I146" i="7"/>
  <c r="J146" i="7"/>
  <c r="K146" i="7"/>
  <c r="I147" i="7"/>
  <c r="J147" i="7"/>
  <c r="K147" i="7"/>
  <c r="I148" i="7"/>
  <c r="J148" i="7"/>
  <c r="K148" i="7"/>
  <c r="I149" i="7"/>
  <c r="J149" i="7"/>
  <c r="K149" i="7"/>
  <c r="I150" i="7"/>
  <c r="J150" i="7"/>
  <c r="K150" i="7"/>
  <c r="I151" i="7"/>
  <c r="J151" i="7"/>
  <c r="K151" i="7"/>
  <c r="I152" i="7"/>
  <c r="J152" i="7"/>
  <c r="K152" i="7"/>
  <c r="I153" i="7"/>
  <c r="J153" i="7"/>
  <c r="K153" i="7"/>
  <c r="I154" i="7"/>
  <c r="J154" i="7"/>
  <c r="K154" i="7"/>
  <c r="I155" i="7"/>
  <c r="J155" i="7"/>
  <c r="K155" i="7"/>
  <c r="I156" i="7"/>
  <c r="J156" i="7"/>
  <c r="K156" i="7"/>
  <c r="I157" i="7"/>
  <c r="J157" i="7"/>
  <c r="K157" i="7"/>
  <c r="I158" i="7"/>
  <c r="J158" i="7"/>
  <c r="K158" i="7"/>
  <c r="I159" i="7"/>
  <c r="J159" i="7"/>
  <c r="K159" i="7"/>
  <c r="I160" i="7"/>
  <c r="J160" i="7"/>
  <c r="K160" i="7"/>
  <c r="I161" i="7"/>
  <c r="J161" i="7"/>
  <c r="K161" i="7"/>
  <c r="I162" i="7"/>
  <c r="J162" i="7"/>
  <c r="K162" i="7"/>
  <c r="I163" i="7"/>
  <c r="J163" i="7"/>
  <c r="K163" i="7"/>
  <c r="I164" i="7"/>
  <c r="J164" i="7"/>
  <c r="K164" i="7"/>
  <c r="I165" i="7"/>
  <c r="J165" i="7"/>
  <c r="K165" i="7"/>
  <c r="I166" i="7"/>
  <c r="J166" i="7"/>
  <c r="K166" i="7"/>
  <c r="I167" i="7"/>
  <c r="J167" i="7"/>
  <c r="K167" i="7"/>
  <c r="I168" i="7"/>
  <c r="J168" i="7"/>
  <c r="K168" i="7"/>
  <c r="I169" i="7"/>
  <c r="J169" i="7"/>
  <c r="K169" i="7"/>
  <c r="I170" i="7"/>
  <c r="J170" i="7"/>
  <c r="K170" i="7"/>
  <c r="I171" i="7"/>
  <c r="J171" i="7"/>
  <c r="K171" i="7"/>
  <c r="I172" i="7"/>
  <c r="J172" i="7"/>
  <c r="K172" i="7"/>
  <c r="I173" i="7"/>
  <c r="J173" i="7"/>
  <c r="K173" i="7"/>
  <c r="I174" i="7"/>
  <c r="J174" i="7"/>
  <c r="K174" i="7"/>
  <c r="I175" i="7"/>
  <c r="J175" i="7"/>
  <c r="K175" i="7"/>
  <c r="I176" i="7"/>
  <c r="J176" i="7"/>
  <c r="K176" i="7"/>
  <c r="I177" i="7"/>
  <c r="J177" i="7"/>
  <c r="K177" i="7"/>
  <c r="I178" i="7"/>
  <c r="J178" i="7"/>
  <c r="K178" i="7"/>
  <c r="I179" i="7"/>
  <c r="J179" i="7"/>
  <c r="K179" i="7"/>
  <c r="I180" i="7"/>
  <c r="J180" i="7"/>
  <c r="K180" i="7"/>
  <c r="I181" i="7"/>
  <c r="J181" i="7"/>
  <c r="K181" i="7"/>
  <c r="I182" i="7"/>
  <c r="J182" i="7"/>
  <c r="K182" i="7"/>
  <c r="I183" i="7"/>
  <c r="J183" i="7"/>
  <c r="K183" i="7"/>
  <c r="I184" i="7"/>
  <c r="J184" i="7"/>
  <c r="K184" i="7"/>
  <c r="I185" i="7"/>
  <c r="J185" i="7"/>
  <c r="K185" i="7"/>
  <c r="I186" i="7"/>
  <c r="J186" i="7"/>
  <c r="K186" i="7"/>
  <c r="I187" i="7"/>
  <c r="J187" i="7"/>
  <c r="K187" i="7"/>
  <c r="I188" i="7"/>
  <c r="J188" i="7"/>
  <c r="K188" i="7"/>
  <c r="I189" i="7"/>
  <c r="J189" i="7"/>
  <c r="K189" i="7"/>
  <c r="I190" i="7"/>
  <c r="J190" i="7"/>
  <c r="K190" i="7"/>
  <c r="I191" i="7"/>
  <c r="J191" i="7"/>
  <c r="K191" i="7"/>
  <c r="I192" i="7"/>
  <c r="J192" i="7"/>
  <c r="K192" i="7"/>
  <c r="I193" i="7"/>
  <c r="J193" i="7"/>
  <c r="K193" i="7"/>
  <c r="I194" i="7"/>
  <c r="J194" i="7"/>
  <c r="K194" i="7"/>
  <c r="I195" i="7"/>
  <c r="J195" i="7"/>
  <c r="K195" i="7"/>
  <c r="I196" i="7"/>
  <c r="J196" i="7"/>
  <c r="K196" i="7"/>
  <c r="I197" i="7"/>
  <c r="J197" i="7"/>
  <c r="K197" i="7"/>
  <c r="I198" i="7"/>
  <c r="J198" i="7"/>
  <c r="K198" i="7"/>
  <c r="I199" i="7"/>
  <c r="J199" i="7"/>
  <c r="K199" i="7"/>
  <c r="I200" i="7"/>
  <c r="J200" i="7"/>
  <c r="K200" i="7"/>
  <c r="I201" i="7"/>
  <c r="J201" i="7"/>
  <c r="K201" i="7"/>
  <c r="I202" i="7"/>
  <c r="J202" i="7"/>
  <c r="K202" i="7"/>
  <c r="I203" i="7"/>
  <c r="J203" i="7"/>
  <c r="K203" i="7"/>
  <c r="I204" i="7"/>
  <c r="J204" i="7"/>
  <c r="K204" i="7"/>
  <c r="I205" i="7"/>
  <c r="J205" i="7"/>
  <c r="K205" i="7"/>
  <c r="H205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" i="7"/>
  <c r="C241" i="10"/>
  <c r="C240" i="10"/>
  <c r="C239" i="10"/>
  <c r="C238" i="10"/>
  <c r="C237" i="10"/>
  <c r="C236" i="10"/>
  <c r="C235" i="10"/>
  <c r="C234" i="10"/>
  <c r="C233" i="10"/>
  <c r="C232" i="10"/>
  <c r="C231" i="10"/>
  <c r="C230" i="10"/>
  <c r="C229" i="10"/>
  <c r="C228" i="10"/>
  <c r="C227" i="10"/>
  <c r="C226" i="10"/>
  <c r="C225" i="10"/>
  <c r="C224" i="10"/>
  <c r="C223" i="10"/>
  <c r="C222" i="10"/>
  <c r="C221" i="10"/>
  <c r="C220" i="10"/>
  <c r="C219" i="10"/>
  <c r="C218" i="10"/>
  <c r="C217" i="10"/>
  <c r="C216" i="10"/>
  <c r="C215" i="10"/>
  <c r="C214" i="10"/>
  <c r="C213" i="10"/>
  <c r="C212" i="10"/>
  <c r="C211" i="10"/>
  <c r="C210" i="10"/>
  <c r="C209" i="10"/>
  <c r="C208" i="10"/>
  <c r="C207" i="10"/>
  <c r="C206" i="10"/>
  <c r="C205" i="10"/>
  <c r="C204" i="10"/>
  <c r="C203" i="10"/>
  <c r="C202" i="10"/>
  <c r="C201" i="10"/>
  <c r="C200" i="10"/>
  <c r="C199" i="10"/>
  <c r="C198" i="10"/>
  <c r="C197" i="10"/>
  <c r="C196" i="10"/>
  <c r="C195" i="10"/>
  <c r="C194" i="10"/>
  <c r="C193" i="10"/>
  <c r="C192" i="10"/>
  <c r="C191" i="10"/>
  <c r="C190" i="10"/>
  <c r="C189" i="10"/>
  <c r="C188" i="10"/>
  <c r="C187" i="10"/>
  <c r="C186" i="10"/>
  <c r="C185" i="10"/>
  <c r="C184" i="10"/>
  <c r="C183" i="10"/>
  <c r="C182" i="10"/>
  <c r="C181" i="10"/>
  <c r="C180" i="10"/>
  <c r="C179" i="10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C166" i="10"/>
  <c r="C165" i="10"/>
  <c r="C164" i="10"/>
  <c r="C163" i="10"/>
  <c r="C162" i="10"/>
  <c r="C161" i="10"/>
  <c r="C160" i="10"/>
  <c r="C159" i="10"/>
  <c r="C158" i="10"/>
  <c r="C157" i="10"/>
  <c r="C156" i="10"/>
  <c r="C155" i="10"/>
  <c r="C154" i="10"/>
  <c r="C153" i="10"/>
  <c r="C152" i="10"/>
  <c r="C151" i="10"/>
  <c r="C150" i="10"/>
  <c r="C149" i="10"/>
  <c r="C148" i="10"/>
  <c r="C147" i="10"/>
  <c r="C146" i="10"/>
  <c r="C145" i="10"/>
  <c r="C144" i="10"/>
  <c r="C143" i="10"/>
  <c r="C142" i="10"/>
  <c r="C141" i="10"/>
  <c r="C140" i="10"/>
  <c r="C139" i="10"/>
  <c r="C138" i="10"/>
  <c r="C137" i="10"/>
  <c r="C136" i="10"/>
  <c r="C135" i="10"/>
  <c r="C134" i="10"/>
  <c r="C133" i="10"/>
  <c r="C132" i="10"/>
  <c r="C131" i="10"/>
  <c r="C130" i="10"/>
  <c r="C129" i="10"/>
  <c r="C128" i="10"/>
  <c r="C127" i="10"/>
  <c r="C126" i="10"/>
  <c r="C125" i="10"/>
  <c r="C124" i="10"/>
  <c r="C123" i="10"/>
  <c r="C122" i="10"/>
  <c r="C121" i="10"/>
  <c r="C120" i="10"/>
  <c r="C119" i="10"/>
  <c r="C118" i="10"/>
  <c r="C117" i="10"/>
  <c r="C116" i="10"/>
  <c r="C115" i="10"/>
  <c r="C114" i="10"/>
  <c r="C113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C100" i="10"/>
  <c r="C99" i="10"/>
  <c r="C98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241" i="9"/>
  <c r="C240" i="9"/>
  <c r="C239" i="9"/>
  <c r="C238" i="9"/>
  <c r="C237" i="9"/>
  <c r="C236" i="9"/>
  <c r="C235" i="9"/>
  <c r="C234" i="9"/>
  <c r="C233" i="9"/>
  <c r="C232" i="9"/>
  <c r="C231" i="9"/>
  <c r="C230" i="9"/>
  <c r="C229" i="9"/>
  <c r="C228" i="9"/>
  <c r="C227" i="9"/>
  <c r="C226" i="9"/>
  <c r="C225" i="9"/>
  <c r="C224" i="9"/>
  <c r="C223" i="9"/>
  <c r="C222" i="9"/>
  <c r="C221" i="9"/>
  <c r="C220" i="9"/>
  <c r="C219" i="9"/>
  <c r="C218" i="9"/>
  <c r="C217" i="9"/>
  <c r="C216" i="9"/>
  <c r="C215" i="9"/>
  <c r="C214" i="9"/>
  <c r="C213" i="9"/>
  <c r="C212" i="9"/>
  <c r="C211" i="9"/>
  <c r="C210" i="9"/>
  <c r="C209" i="9"/>
  <c r="C208" i="9"/>
  <c r="C207" i="9"/>
  <c r="C206" i="9"/>
  <c r="C205" i="9"/>
  <c r="C204" i="9"/>
  <c r="C203" i="9"/>
  <c r="C202" i="9"/>
  <c r="C201" i="9"/>
  <c r="C200" i="9"/>
  <c r="C199" i="9"/>
  <c r="C198" i="9"/>
  <c r="C197" i="9"/>
  <c r="C196" i="9"/>
  <c r="C195" i="9"/>
  <c r="C194" i="9"/>
  <c r="C193" i="9"/>
  <c r="C192" i="9"/>
  <c r="C191" i="9"/>
  <c r="C190" i="9"/>
  <c r="C189" i="9"/>
  <c r="C188" i="9"/>
  <c r="C187" i="9"/>
  <c r="C186" i="9"/>
  <c r="C185" i="9"/>
  <c r="C184" i="9"/>
  <c r="C183" i="9"/>
  <c r="C182" i="9"/>
  <c r="C181" i="9"/>
  <c r="C180" i="9"/>
  <c r="C179" i="9"/>
  <c r="C178" i="9"/>
  <c r="C177" i="9"/>
  <c r="C176" i="9"/>
  <c r="C175" i="9"/>
  <c r="C174" i="9"/>
  <c r="C173" i="9"/>
  <c r="C172" i="9"/>
  <c r="C171" i="9"/>
  <c r="C170" i="9"/>
  <c r="C169" i="9"/>
  <c r="C168" i="9"/>
  <c r="C167" i="9"/>
  <c r="C166" i="9"/>
  <c r="C165" i="9"/>
  <c r="C164" i="9"/>
  <c r="C163" i="9"/>
  <c r="C162" i="9"/>
  <c r="C161" i="9"/>
  <c r="C160" i="9"/>
  <c r="C159" i="9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3" i="9"/>
  <c r="C142" i="9"/>
  <c r="C141" i="9"/>
  <c r="C140" i="9"/>
  <c r="C139" i="9"/>
  <c r="C138" i="9"/>
  <c r="C137" i="9"/>
  <c r="C136" i="9"/>
  <c r="C135" i="9"/>
  <c r="C134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3" i="9"/>
  <c r="C112" i="9"/>
  <c r="C111" i="9"/>
  <c r="C110" i="9"/>
  <c r="C109" i="9"/>
  <c r="C108" i="9"/>
  <c r="C107" i="9"/>
  <c r="C106" i="9"/>
  <c r="C105" i="9"/>
  <c r="C104" i="9"/>
  <c r="C103" i="9"/>
  <c r="C102" i="9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237" i="8"/>
  <c r="C238" i="8"/>
  <c r="C239" i="8"/>
  <c r="C240" i="8"/>
  <c r="C241" i="8"/>
  <c r="C236" i="8"/>
  <c r="C231" i="8"/>
  <c r="C232" i="8"/>
  <c r="C233" i="8"/>
  <c r="C234" i="8"/>
  <c r="C235" i="8"/>
  <c r="C230" i="8"/>
  <c r="C225" i="8"/>
  <c r="C226" i="8"/>
  <c r="C227" i="8"/>
  <c r="C228" i="8"/>
  <c r="C229" i="8"/>
  <c r="C224" i="8"/>
  <c r="C219" i="8"/>
  <c r="C220" i="8"/>
  <c r="C221" i="8"/>
  <c r="C222" i="8"/>
  <c r="C223" i="8"/>
  <c r="C218" i="8"/>
  <c r="C213" i="8"/>
  <c r="C214" i="8"/>
  <c r="C215" i="8"/>
  <c r="C216" i="8"/>
  <c r="C217" i="8"/>
  <c r="C212" i="8"/>
  <c r="C207" i="8"/>
  <c r="C208" i="8"/>
  <c r="C209" i="8"/>
  <c r="C210" i="8"/>
  <c r="C211" i="8"/>
  <c r="C206" i="8"/>
  <c r="C201" i="8"/>
  <c r="C202" i="8"/>
  <c r="C203" i="8"/>
  <c r="C204" i="8"/>
  <c r="C205" i="8"/>
  <c r="C200" i="8"/>
  <c r="C195" i="8"/>
  <c r="C196" i="8"/>
  <c r="C197" i="8"/>
  <c r="C198" i="8"/>
  <c r="C199" i="8"/>
  <c r="C194" i="8"/>
  <c r="C189" i="8"/>
  <c r="C190" i="8"/>
  <c r="C191" i="8"/>
  <c r="C192" i="8"/>
  <c r="C193" i="8"/>
  <c r="C188" i="8"/>
  <c r="C183" i="8"/>
  <c r="C184" i="8"/>
  <c r="C185" i="8"/>
  <c r="C186" i="8"/>
  <c r="C187" i="8"/>
  <c r="C182" i="8"/>
  <c r="C177" i="8"/>
  <c r="C178" i="8"/>
  <c r="C179" i="8"/>
  <c r="C180" i="8"/>
  <c r="C181" i="8"/>
  <c r="C176" i="8"/>
  <c r="C171" i="8"/>
  <c r="C172" i="8"/>
  <c r="C173" i="8"/>
  <c r="C174" i="8"/>
  <c r="C175" i="8"/>
  <c r="C170" i="8"/>
  <c r="C165" i="8"/>
  <c r="C166" i="8"/>
  <c r="C167" i="8"/>
  <c r="C168" i="8"/>
  <c r="C169" i="8"/>
  <c r="C164" i="8"/>
  <c r="C159" i="8"/>
  <c r="C160" i="8"/>
  <c r="C161" i="8"/>
  <c r="C162" i="8"/>
  <c r="C163" i="8"/>
  <c r="C158" i="8"/>
  <c r="C153" i="8"/>
  <c r="C154" i="8"/>
  <c r="C155" i="8"/>
  <c r="C156" i="8"/>
  <c r="C157" i="8"/>
  <c r="C152" i="8"/>
  <c r="C147" i="8"/>
  <c r="C148" i="8"/>
  <c r="C149" i="8"/>
  <c r="C150" i="8"/>
  <c r="C151" i="8"/>
  <c r="C146" i="8"/>
  <c r="C141" i="8"/>
  <c r="C142" i="8"/>
  <c r="C143" i="8"/>
  <c r="C144" i="8"/>
  <c r="C145" i="8"/>
  <c r="C140" i="8"/>
  <c r="C135" i="8"/>
  <c r="C136" i="8"/>
  <c r="C137" i="8"/>
  <c r="C138" i="8"/>
  <c r="C139" i="8"/>
  <c r="C134" i="8"/>
  <c r="C129" i="8"/>
  <c r="C130" i="8"/>
  <c r="C131" i="8"/>
  <c r="C132" i="8"/>
  <c r="C133" i="8"/>
  <c r="C128" i="8"/>
  <c r="C123" i="8"/>
  <c r="C124" i="8"/>
  <c r="C125" i="8"/>
  <c r="C126" i="8"/>
  <c r="C127" i="8"/>
  <c r="C122" i="8"/>
  <c r="C117" i="8"/>
  <c r="C118" i="8"/>
  <c r="C119" i="8"/>
  <c r="C120" i="8"/>
  <c r="C121" i="8"/>
  <c r="C116" i="8"/>
  <c r="C111" i="8"/>
  <c r="C112" i="8"/>
  <c r="C113" i="8"/>
  <c r="C114" i="8"/>
  <c r="C115" i="8"/>
  <c r="C110" i="8"/>
  <c r="C105" i="8"/>
  <c r="C106" i="8"/>
  <c r="C107" i="8"/>
  <c r="C108" i="8"/>
  <c r="C109" i="8"/>
  <c r="C104" i="8"/>
  <c r="C99" i="8"/>
  <c r="C100" i="8"/>
  <c r="C101" i="8"/>
  <c r="C102" i="8"/>
  <c r="C103" i="8"/>
  <c r="C98" i="8"/>
  <c r="C93" i="8"/>
  <c r="C94" i="8"/>
  <c r="C95" i="8"/>
  <c r="C96" i="8"/>
  <c r="C97" i="8"/>
  <c r="C92" i="8"/>
  <c r="C87" i="8"/>
  <c r="C88" i="8"/>
  <c r="C89" i="8"/>
  <c r="C90" i="8"/>
  <c r="C91" i="8"/>
  <c r="C86" i="8"/>
  <c r="C81" i="8"/>
  <c r="C82" i="8"/>
  <c r="C83" i="8"/>
  <c r="C84" i="8"/>
  <c r="C85" i="8"/>
  <c r="C80" i="8"/>
  <c r="C75" i="8"/>
  <c r="C76" i="8"/>
  <c r="C77" i="8"/>
  <c r="C78" i="8"/>
  <c r="C79" i="8"/>
  <c r="C74" i="8"/>
  <c r="C69" i="8"/>
  <c r="C70" i="8"/>
  <c r="C71" i="8"/>
  <c r="C72" i="8"/>
  <c r="C73" i="8"/>
  <c r="C68" i="8"/>
  <c r="C63" i="8"/>
  <c r="C64" i="8"/>
  <c r="C65" i="8"/>
  <c r="C66" i="8"/>
  <c r="C67" i="8"/>
  <c r="C62" i="8"/>
  <c r="C57" i="8"/>
  <c r="C58" i="8"/>
  <c r="C59" i="8"/>
  <c r="C60" i="8"/>
  <c r="C61" i="8"/>
  <c r="C56" i="8"/>
  <c r="C51" i="8"/>
  <c r="C52" i="8"/>
  <c r="C53" i="8"/>
  <c r="C54" i="8"/>
  <c r="C55" i="8"/>
  <c r="C50" i="8"/>
  <c r="C49" i="8"/>
  <c r="C45" i="8"/>
  <c r="C46" i="8"/>
  <c r="C47" i="8"/>
  <c r="C48" i="8"/>
  <c r="C40" i="8"/>
  <c r="C41" i="8"/>
  <c r="C42" i="8"/>
  <c r="C43" i="8"/>
  <c r="C39" i="8"/>
  <c r="C38" i="8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1" i="1"/>
  <c r="T82" i="1"/>
  <c r="T83" i="1"/>
  <c r="T84" i="1"/>
  <c r="T85" i="1"/>
  <c r="T86" i="1"/>
  <c r="T87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10" i="1"/>
  <c r="T11" i="1"/>
  <c r="T12" i="1"/>
  <c r="T13" i="1"/>
  <c r="T14" i="1"/>
  <c r="T15" i="1"/>
  <c r="T5" i="1"/>
  <c r="T6" i="1"/>
  <c r="T7" i="1"/>
  <c r="T8" i="1"/>
  <c r="T9" i="1"/>
  <c r="T4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5" i="1"/>
  <c r="O6" i="1"/>
  <c r="O7" i="1"/>
  <c r="O8" i="1"/>
  <c r="O9" i="1"/>
  <c r="O4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5" i="1"/>
  <c r="L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4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T89" i="1" s="1"/>
  <c r="E88" i="1"/>
  <c r="T88" i="1" s="1"/>
  <c r="E87" i="1"/>
  <c r="E86" i="1"/>
  <c r="E85" i="1"/>
  <c r="E84" i="1"/>
  <c r="E83" i="1"/>
  <c r="E82" i="1"/>
  <c r="E81" i="1"/>
  <c r="E80" i="1"/>
  <c r="T80" i="1" s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I14" i="5" l="1"/>
  <c r="I5" i="5"/>
  <c r="I9" i="5"/>
  <c r="I11" i="5"/>
  <c r="I13" i="5"/>
  <c r="I15" i="5"/>
  <c r="I7" i="5"/>
</calcChain>
</file>

<file path=xl/sharedStrings.xml><?xml version="1.0" encoding="utf-8"?>
<sst xmlns="http://schemas.openxmlformats.org/spreadsheetml/2006/main" count="1436" uniqueCount="102">
  <si>
    <t>Provinsi</t>
  </si>
  <si>
    <t>Tahun</t>
  </si>
  <si>
    <t>Jumlah Tindak Pidana</t>
  </si>
  <si>
    <t>Kasus Narkotika</t>
  </si>
  <si>
    <t>AD-DIEN</t>
  </si>
  <si>
    <t>Angka Harapan Hidup</t>
  </si>
  <si>
    <t>Unmeet Health Need</t>
  </si>
  <si>
    <t>AN-NAFS</t>
  </si>
  <si>
    <t>Presen Penduduk Miskin</t>
  </si>
  <si>
    <t>PDRB Percapita</t>
  </si>
  <si>
    <t>Pertumbuhan PDRB</t>
  </si>
  <si>
    <t>AL-MAAL</t>
  </si>
  <si>
    <t>Laju Pertumbuhan Penduduk</t>
  </si>
  <si>
    <t>Persen Bayi dengan ASI eksklusif</t>
  </si>
  <si>
    <t>Persen Kelahiran dengan Tenaga Medis</t>
  </si>
  <si>
    <t>AN-NASL</t>
  </si>
  <si>
    <t>Angka Harapan Lama Sekolah</t>
  </si>
  <si>
    <t>Rata-rata Lama sekolah</t>
  </si>
  <si>
    <t>AL-AQL</t>
  </si>
  <si>
    <t>IHDI</t>
  </si>
  <si>
    <t>Aceh</t>
  </si>
  <si>
    <t>Bali</t>
  </si>
  <si>
    <t>Banten</t>
  </si>
  <si>
    <t>Bengkulu</t>
  </si>
  <si>
    <t>DKI Jakarta</t>
  </si>
  <si>
    <t>Gorontalo</t>
  </si>
  <si>
    <t>Jambi</t>
  </si>
  <si>
    <t>Jawa Barat</t>
  </si>
  <si>
    <t>Jawa Tengah</t>
  </si>
  <si>
    <t>Jawa Timur</t>
  </si>
  <si>
    <t>Kalimantan Barat</t>
  </si>
  <si>
    <t>Kalimantan Selatan</t>
  </si>
  <si>
    <t>Kalimantan Tengah</t>
  </si>
  <si>
    <t>Kalimantan Timur</t>
  </si>
  <si>
    <t>Kalimantan Utara</t>
  </si>
  <si>
    <t>Kep. Bangka Belitung</t>
  </si>
  <si>
    <t>Kep. Riau</t>
  </si>
  <si>
    <t>Lampung</t>
  </si>
  <si>
    <t>Maluku</t>
  </si>
  <si>
    <t>Maluku Utara</t>
  </si>
  <si>
    <t>Nusa Tenggara Barat</t>
  </si>
  <si>
    <t>Nusa Tenggara Timur</t>
  </si>
  <si>
    <t>Papua</t>
  </si>
  <si>
    <t>Papua Barat</t>
  </si>
  <si>
    <t>Riau</t>
  </si>
  <si>
    <t>Sulawesi Barat</t>
  </si>
  <si>
    <t>Sulawesi Selatan</t>
  </si>
  <si>
    <t>Sulawesi Tengah</t>
  </si>
  <si>
    <t>Sulawesi Tenggara</t>
  </si>
  <si>
    <t>Sulawesi Utara</t>
  </si>
  <si>
    <t>Sumatera Barat</t>
  </si>
  <si>
    <t>Sumatera Selatan</t>
  </si>
  <si>
    <t>Sumatera Utara</t>
  </si>
  <si>
    <t>Yogyakarta</t>
  </si>
  <si>
    <t>ACEH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</si>
  <si>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</si>
  <si>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</si>
  <si>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</si>
  <si>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</si>
  <si>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</si>
  <si>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</si>
  <si>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</si>
  <si>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KEP. BANGKA BELITUNG</t>
  </si>
  <si>
    <t>KEP. RIAU</t>
  </si>
  <si>
    <t>JAWA BARAT</t>
  </si>
  <si>
    <t>JAWA TENGAH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</si>
  <si>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</si>
  <si>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</si>
  <si>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</si>
  <si>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</si>
  <si>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</si>
  <si>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</si>
  <si>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</si>
  <si>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</si>
  <si>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</si>
  <si>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</si>
  <si>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</si>
  <si>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</si>
  <si>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</si>
  <si>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</si>
  <si>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</si>
  <si>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</si>
  <si>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</si>
  <si>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</si>
  <si>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</si>
  <si>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</t>
  </si>
  <si>
    <t>YOGYAKARTA</t>
  </si>
  <si>
    <t>DKI JAKARTA</t>
  </si>
  <si>
    <t>Provinces</t>
  </si>
  <si>
    <t>DOMINV</t>
  </si>
  <si>
    <t>GOVEX</t>
  </si>
  <si>
    <t>PROVINCE</t>
  </si>
  <si>
    <t>Note: Investasi Domestik (dalam Miliyaran Rupiah)</t>
  </si>
  <si>
    <t>Note: Investasi Asing (dalam Jutaan Dollar)</t>
  </si>
  <si>
    <t>Note: Pengeluaran Pemerintah (Dalam Jutaan Rupiah)</t>
  </si>
  <si>
    <t>LN(DOMINV)</t>
  </si>
  <si>
    <t>LN(GOVEX)</t>
  </si>
  <si>
    <t>LN(FORINV</t>
  </si>
  <si>
    <t>FORINV</t>
  </si>
  <si>
    <t>LN(IHDI)</t>
  </si>
  <si>
    <t>Note: Sheet 1 contains IHDI Data, While Sheet 3 contains regression variables data</t>
  </si>
  <si>
    <t>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</si>
</sst>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8DB4E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165" fontId="0" fillId="0" borderId="0" xfId="0" applyNumberFormat="1"/>
    <xf numFmtId="165" fontId="2" fillId="0" borderId="1" xfId="0" applyNumberFormat="1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1" applyNumberFormat="1" applyFont="1" applyBorder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 applyBorder="1" applyAlignment="1">
      <alignment horizontal="center" vertical="center"/>
    </xf>
    <xf numFmtId="0" fontId="2" fillId="0" borderId="2" xfId="1" applyNumberFormat="1" applyFont="1" applyBorder="1"/>
    <xf numFmtId="0" fontId="1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1" applyNumberFormat="1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2" fontId="0" fillId="0" borderId="0" xfId="0" applyNumberForma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3"/>
  <sheetViews>
    <sheetView zoomScaleNormal="100" workbookViewId="0">
      <pane xSplit="1" topLeftCell="B1" activePane="topRight" state="frozen"/>
      <selection pane="topRight" activeCell="S112" sqref="S112"/>
    </sheetView>
  </sheetViews>
  <sheetFormatPr defaultRowHeight="15" x14ac:dyDescent="0.25"/>
  <cols>
    <col min="1" max="1" width="17.85546875" customWidth="1"/>
    <col min="3" max="3" width="7" bestFit="1" customWidth="1"/>
    <col min="4" max="4" width="8.85546875" bestFit="1" customWidth="1"/>
    <col min="5" max="6" width="8.42578125" bestFit="1" customWidth="1"/>
    <col min="7" max="7" width="7.7109375" bestFit="1" customWidth="1"/>
    <col min="8" max="8" width="11" bestFit="1" customWidth="1"/>
    <col min="9" max="9" width="8.5703125" bestFit="1" customWidth="1"/>
    <col min="10" max="10" width="8.42578125" bestFit="1" customWidth="1"/>
    <col min="11" max="11" width="8.7109375" bestFit="1" customWidth="1"/>
    <col min="12" max="12" width="11" bestFit="1" customWidth="1"/>
    <col min="13" max="13" width="8.42578125" bestFit="1" customWidth="1"/>
    <col min="15" max="15" width="9.28515625" bestFit="1" customWidth="1"/>
    <col min="16" max="16" width="8.5703125" bestFit="1" customWidth="1"/>
    <col min="17" max="17" width="9.5703125" style="15" bestFit="1" customWidth="1"/>
    <col min="18" max="18" width="8.28515625" bestFit="1" customWidth="1"/>
    <col min="19" max="19" width="11.140625" bestFit="1" customWidth="1"/>
    <col min="20" max="20" width="10.5703125" customWidth="1"/>
  </cols>
  <sheetData>
    <row r="1" spans="1:20" x14ac:dyDescent="0.25">
      <c r="A1" s="40" t="s">
        <v>100</v>
      </c>
    </row>
    <row r="2" spans="1:20" ht="15.75" thickBot="1" x14ac:dyDescent="0.3"/>
    <row r="3" spans="1:20" ht="79.5" thickBot="1" x14ac:dyDescent="0.3">
      <c r="A3" s="1" t="s">
        <v>0</v>
      </c>
      <c r="B3" s="2" t="s">
        <v>1</v>
      </c>
      <c r="C3" s="3" t="s">
        <v>2</v>
      </c>
      <c r="D3" s="3" t="s">
        <v>3</v>
      </c>
      <c r="E3" s="4" t="s">
        <v>4</v>
      </c>
      <c r="F3" s="3" t="s">
        <v>5</v>
      </c>
      <c r="G3" s="3" t="s">
        <v>6</v>
      </c>
      <c r="H3" s="4" t="s">
        <v>7</v>
      </c>
      <c r="I3" s="3" t="s">
        <v>12</v>
      </c>
      <c r="J3" s="3" t="s">
        <v>13</v>
      </c>
      <c r="K3" s="3" t="s">
        <v>14</v>
      </c>
      <c r="L3" s="4" t="s">
        <v>15</v>
      </c>
      <c r="M3" s="3" t="s">
        <v>16</v>
      </c>
      <c r="N3" s="3" t="s">
        <v>17</v>
      </c>
      <c r="O3" s="4" t="s">
        <v>18</v>
      </c>
      <c r="P3" s="3" t="s">
        <v>8</v>
      </c>
      <c r="Q3" s="16" t="s">
        <v>9</v>
      </c>
      <c r="R3" s="3" t="s">
        <v>10</v>
      </c>
      <c r="S3" s="4" t="s">
        <v>11</v>
      </c>
      <c r="T3" s="5" t="s">
        <v>19</v>
      </c>
    </row>
    <row r="4" spans="1:20" ht="16.5" thickBot="1" x14ac:dyDescent="0.3">
      <c r="A4" s="6" t="s">
        <v>20</v>
      </c>
      <c r="B4" s="2">
        <v>2015</v>
      </c>
      <c r="C4" s="7">
        <v>8048</v>
      </c>
      <c r="D4" s="7">
        <v>1</v>
      </c>
      <c r="E4" s="14">
        <f>((1-((C4-100)/(50000-100)))+(1-((D4-0)/(100-0))))/2*100</f>
        <v>91.536072144288582</v>
      </c>
      <c r="F4" s="7">
        <v>69.5</v>
      </c>
      <c r="G4" s="7">
        <v>3.09</v>
      </c>
      <c r="H4" s="13">
        <f>(((F4-50)/(80-50))+(1-(G4-1)/(10-1)))/2*100</f>
        <v>70.888888888888886</v>
      </c>
      <c r="I4" s="7">
        <v>2.0299999999999998</v>
      </c>
      <c r="J4" s="7">
        <v>33.380000000000003</v>
      </c>
      <c r="K4" s="7">
        <v>95.4</v>
      </c>
      <c r="L4" s="13">
        <f>(((I4-0)/(5-0))+((J4-15)/(100-15))+((K4-50)/(100-50)))/3*100</f>
        <v>51.007843137254902</v>
      </c>
      <c r="M4" s="7">
        <v>13.73</v>
      </c>
      <c r="N4" s="7">
        <v>9.32</v>
      </c>
      <c r="O4" s="13">
        <f>(((M4-6)/(16-6))+((N4-5)/(12-5)))/2*100</f>
        <v>69.507142857142853</v>
      </c>
      <c r="P4" s="7">
        <v>17.079999999999998</v>
      </c>
      <c r="Q4" s="12">
        <v>22524.31</v>
      </c>
      <c r="R4" s="11">
        <v>-0.72677999999999998</v>
      </c>
      <c r="S4" s="13">
        <f>((1-((P4-1)/(100-1)))+((Q4-10000)/(200000-10000))+((R4-(-20))/(25-(-20))))/3*100</f>
        <v>44.392898546872232</v>
      </c>
      <c r="T4" s="17">
        <f>(E4*H4*L4*O4*S4)^(1/5)</f>
        <v>63.36217377039317</v>
      </c>
    </row>
    <row r="5" spans="1:20" ht="16.5" thickBot="1" x14ac:dyDescent="0.3">
      <c r="A5" s="6" t="s">
        <v>20</v>
      </c>
      <c r="B5" s="2">
        <v>2016</v>
      </c>
      <c r="C5" s="7">
        <v>9646</v>
      </c>
      <c r="D5" s="7">
        <v>20</v>
      </c>
      <c r="E5" s="14">
        <f t="shared" ref="E5:E68" si="0">((1-((C5-100)/(50000-100)))+(1-((D5-0)/(100-0))))/2*100</f>
        <v>80.434869739478955</v>
      </c>
      <c r="F5" s="7">
        <v>69.510000000000005</v>
      </c>
      <c r="G5" s="7">
        <v>2.86</v>
      </c>
      <c r="H5" s="13">
        <f t="shared" ref="H5:H68" si="1">(((F5-50)/(80-50))+(1-(G5-1)/(10-1)))/2*100</f>
        <v>72.183333333333337</v>
      </c>
      <c r="I5" s="7">
        <v>2.0099999999999998</v>
      </c>
      <c r="J5" s="7">
        <v>38.04</v>
      </c>
      <c r="K5" s="7">
        <v>96.28</v>
      </c>
      <c r="L5" s="13">
        <f>(((I5-0)/(5-0))+((J5-15)/(100-15))+((K5-50)/(100-50)))/3*100</f>
        <v>53.288627450980385</v>
      </c>
      <c r="M5" s="7">
        <v>13.89</v>
      </c>
      <c r="N5" s="7">
        <v>9.36</v>
      </c>
      <c r="O5" s="13">
        <f t="shared" ref="O5:O68" si="2">(((M5-6)/(16-6))+((N5-5)/(12-5)))/2*100</f>
        <v>70.592857142857142</v>
      </c>
      <c r="P5" s="7">
        <v>16.73</v>
      </c>
      <c r="Q5" s="12">
        <v>22835.29</v>
      </c>
      <c r="R5" s="11">
        <v>3.2918409999999998</v>
      </c>
      <c r="S5" s="13">
        <f t="shared" ref="S5:S68" si="3">((1-((P5-1)/(100-1)))+((Q5-10000)/(200000-10000))+((R5-(-20))/(25-(-20))))/3*100</f>
        <v>47.542057855750492</v>
      </c>
      <c r="T5" s="17">
        <f t="shared" ref="T5:T68" si="4">(E5*H5*L5*O5*S5)^(1/5)</f>
        <v>63.572737548247424</v>
      </c>
    </row>
    <row r="6" spans="1:20" ht="16.5" thickBot="1" x14ac:dyDescent="0.3">
      <c r="A6" s="6" t="s">
        <v>20</v>
      </c>
      <c r="B6" s="2">
        <v>2017</v>
      </c>
      <c r="C6" s="7">
        <v>8885</v>
      </c>
      <c r="D6" s="7">
        <v>15</v>
      </c>
      <c r="E6" s="14">
        <f t="shared" si="0"/>
        <v>83.697394789579164</v>
      </c>
      <c r="F6" s="7">
        <v>69.52</v>
      </c>
      <c r="G6" s="7">
        <v>3.62</v>
      </c>
      <c r="H6" s="13">
        <f t="shared" si="1"/>
        <v>67.977777777777774</v>
      </c>
      <c r="I6" s="7">
        <v>1.98</v>
      </c>
      <c r="J6" s="7">
        <v>49.83</v>
      </c>
      <c r="K6" s="7">
        <v>97.32</v>
      </c>
      <c r="L6" s="13">
        <f t="shared" ref="L6:L69" si="5">(((I6-0)/(5-0))+((J6-15)/(100-15))+((K6-50)/(100-50)))/3*100</f>
        <v>58.405490196078425</v>
      </c>
      <c r="M6" s="7">
        <v>14.13</v>
      </c>
      <c r="N6" s="7">
        <v>9.42</v>
      </c>
      <c r="O6" s="13">
        <f t="shared" si="2"/>
        <v>72.221428571428575</v>
      </c>
      <c r="P6" s="7">
        <v>16.89</v>
      </c>
      <c r="Q6" s="12">
        <v>23362.9</v>
      </c>
      <c r="R6" s="11">
        <v>4.1819199999999999</v>
      </c>
      <c r="S6" s="13">
        <f t="shared" si="3"/>
        <v>48.240066737550954</v>
      </c>
      <c r="T6" s="17">
        <f t="shared" si="4"/>
        <v>64.971263150282624</v>
      </c>
    </row>
    <row r="7" spans="1:20" ht="16.5" thickBot="1" x14ac:dyDescent="0.3">
      <c r="A7" s="6" t="s">
        <v>20</v>
      </c>
      <c r="B7" s="2">
        <v>2018</v>
      </c>
      <c r="C7" s="7">
        <v>8758</v>
      </c>
      <c r="D7" s="7">
        <v>38</v>
      </c>
      <c r="E7" s="14">
        <f t="shared" si="0"/>
        <v>72.324649298597194</v>
      </c>
      <c r="F7" s="7">
        <v>69.64</v>
      </c>
      <c r="G7" s="7">
        <v>4.53</v>
      </c>
      <c r="H7" s="13">
        <f t="shared" si="1"/>
        <v>63.122222222222227</v>
      </c>
      <c r="I7" s="7">
        <v>1.96</v>
      </c>
      <c r="J7" s="7">
        <v>33.33</v>
      </c>
      <c r="K7" s="7">
        <v>97.57</v>
      </c>
      <c r="L7" s="13">
        <f t="shared" si="5"/>
        <v>51.96823529411764</v>
      </c>
      <c r="M7" s="7">
        <v>14.27</v>
      </c>
      <c r="N7" s="7">
        <v>9.4600000000000009</v>
      </c>
      <c r="O7" s="13">
        <f t="shared" si="2"/>
        <v>73.207142857142856</v>
      </c>
      <c r="P7" s="7">
        <v>15.97</v>
      </c>
      <c r="Q7" s="12">
        <v>24013.79</v>
      </c>
      <c r="R7" s="11">
        <v>4.6052</v>
      </c>
      <c r="S7" s="13">
        <f t="shared" si="3"/>
        <v>48.977563016126169</v>
      </c>
      <c r="T7" s="17">
        <f t="shared" si="4"/>
        <v>61.087372146055984</v>
      </c>
    </row>
    <row r="8" spans="1:20" ht="16.5" thickBot="1" x14ac:dyDescent="0.3">
      <c r="A8" s="6" t="s">
        <v>20</v>
      </c>
      <c r="B8" s="2">
        <v>2019</v>
      </c>
      <c r="C8" s="7">
        <v>7483</v>
      </c>
      <c r="D8" s="7">
        <v>26</v>
      </c>
      <c r="E8" s="14">
        <f t="shared" si="0"/>
        <v>79.602204408817627</v>
      </c>
      <c r="F8" s="7">
        <v>69.915000000000006</v>
      </c>
      <c r="G8" s="7">
        <v>4.3600000000000003</v>
      </c>
      <c r="H8" s="13">
        <f t="shared" si="1"/>
        <v>64.525000000000006</v>
      </c>
      <c r="I8" s="7">
        <v>1.93</v>
      </c>
      <c r="J8" s="7">
        <v>62.81</v>
      </c>
      <c r="K8" s="7">
        <v>98.29</v>
      </c>
      <c r="L8" s="13">
        <f t="shared" si="5"/>
        <v>63.80901960784314</v>
      </c>
      <c r="M8" s="7">
        <v>14.3</v>
      </c>
      <c r="N8" s="7">
        <v>9.59</v>
      </c>
      <c r="O8" s="13">
        <f t="shared" si="2"/>
        <v>74.285714285714292</v>
      </c>
      <c r="P8" s="7">
        <v>15.32</v>
      </c>
      <c r="Q8" s="12">
        <v>24842.3</v>
      </c>
      <c r="R8" s="11">
        <v>4.1394880000000001</v>
      </c>
      <c r="S8" s="13">
        <f t="shared" si="3"/>
        <v>48.996799014708486</v>
      </c>
      <c r="T8" s="17">
        <f t="shared" si="4"/>
        <v>65.361444010242991</v>
      </c>
    </row>
    <row r="9" spans="1:20" ht="16.5" thickBot="1" x14ac:dyDescent="0.3">
      <c r="A9" s="6" t="s">
        <v>20</v>
      </c>
      <c r="B9" s="2">
        <v>2020</v>
      </c>
      <c r="C9" s="7">
        <v>7745</v>
      </c>
      <c r="D9" s="7">
        <v>20</v>
      </c>
      <c r="E9" s="14">
        <f t="shared" si="0"/>
        <v>82.339679358717447</v>
      </c>
      <c r="F9" s="7">
        <v>69.974999999999994</v>
      </c>
      <c r="G9" s="7">
        <v>4.33</v>
      </c>
      <c r="H9" s="13">
        <f t="shared" si="1"/>
        <v>64.791666666666657</v>
      </c>
      <c r="I9" s="7">
        <v>1.56</v>
      </c>
      <c r="J9" s="7">
        <v>65.430000000000007</v>
      </c>
      <c r="K9" s="7">
        <v>98.23</v>
      </c>
      <c r="L9" s="13">
        <f t="shared" si="5"/>
        <v>62.329803921568626</v>
      </c>
      <c r="M9" s="7">
        <v>14.31</v>
      </c>
      <c r="N9" s="7">
        <v>9.7100000000000009</v>
      </c>
      <c r="O9" s="13">
        <f t="shared" si="2"/>
        <v>75.19285714285715</v>
      </c>
      <c r="P9" s="7">
        <v>14.99</v>
      </c>
      <c r="Q9" s="12">
        <v>25018.3</v>
      </c>
      <c r="R9" s="11">
        <v>-0.37</v>
      </c>
      <c r="S9" s="13">
        <f t="shared" si="3"/>
        <v>45.798425837320572</v>
      </c>
      <c r="T9" s="17">
        <f t="shared" si="4"/>
        <v>64.829137602890327</v>
      </c>
    </row>
    <row r="10" spans="1:20" ht="16.5" thickBot="1" x14ac:dyDescent="0.3">
      <c r="A10" s="6" t="s">
        <v>21</v>
      </c>
      <c r="B10" s="2">
        <v>2015</v>
      </c>
      <c r="C10" s="7">
        <v>5032</v>
      </c>
      <c r="D10" s="7">
        <v>14</v>
      </c>
      <c r="E10" s="14">
        <f t="shared" si="0"/>
        <v>88.05811623246494</v>
      </c>
      <c r="F10" s="7">
        <v>71.349999999999994</v>
      </c>
      <c r="G10" s="7">
        <v>4.3499999999999996</v>
      </c>
      <c r="H10" s="13">
        <f t="shared" si="1"/>
        <v>66.972222222222214</v>
      </c>
      <c r="I10" s="7">
        <v>1.23</v>
      </c>
      <c r="J10" s="7">
        <v>44.95</v>
      </c>
      <c r="K10" s="7">
        <v>99.81</v>
      </c>
      <c r="L10" s="13">
        <f t="shared" si="5"/>
        <v>53.151764705882357</v>
      </c>
      <c r="M10" s="7">
        <v>12.97</v>
      </c>
      <c r="N10" s="7">
        <v>8.8000000000000007</v>
      </c>
      <c r="O10" s="13">
        <f t="shared" si="2"/>
        <v>61.992857142857147</v>
      </c>
      <c r="P10" s="7">
        <v>4.74</v>
      </c>
      <c r="Q10" s="12">
        <v>31093.61</v>
      </c>
      <c r="R10" s="11">
        <v>6.0260579999999999</v>
      </c>
      <c r="S10" s="13">
        <f t="shared" si="3"/>
        <v>55.053268888888894</v>
      </c>
      <c r="T10" s="17">
        <f>(E10*H10*L10*O10*S10)^(1/5)</f>
        <v>63.953057231511998</v>
      </c>
    </row>
    <row r="11" spans="1:20" ht="16.5" thickBot="1" x14ac:dyDescent="0.3">
      <c r="A11" s="6" t="s">
        <v>21</v>
      </c>
      <c r="B11" s="2">
        <v>2016</v>
      </c>
      <c r="C11" s="7">
        <v>4764</v>
      </c>
      <c r="D11" s="7">
        <v>44</v>
      </c>
      <c r="E11" s="14">
        <f t="shared" si="0"/>
        <v>73.326653306613238</v>
      </c>
      <c r="F11" s="7">
        <v>71.41</v>
      </c>
      <c r="G11" s="7">
        <v>3.44</v>
      </c>
      <c r="H11" s="13">
        <f t="shared" si="1"/>
        <v>72.127777777777766</v>
      </c>
      <c r="I11" s="7">
        <v>1.21</v>
      </c>
      <c r="J11" s="7">
        <v>49.45</v>
      </c>
      <c r="K11" s="7">
        <v>99.4</v>
      </c>
      <c r="L11" s="13">
        <f t="shared" si="5"/>
        <v>54.509803921568626</v>
      </c>
      <c r="M11" s="7">
        <v>13.04</v>
      </c>
      <c r="N11" s="7">
        <v>8.84</v>
      </c>
      <c r="O11" s="13">
        <f t="shared" si="2"/>
        <v>62.628571428571433</v>
      </c>
      <c r="P11" s="7">
        <v>4.25</v>
      </c>
      <c r="Q11" s="12">
        <v>32689.09</v>
      </c>
      <c r="R11" s="11">
        <v>6.3270410000000004</v>
      </c>
      <c r="S11" s="13">
        <f t="shared" si="3"/>
        <v>55.721111196172259</v>
      </c>
      <c r="T11" s="17">
        <f t="shared" si="4"/>
        <v>63.172237861292587</v>
      </c>
    </row>
    <row r="12" spans="1:20" ht="16.5" thickBot="1" x14ac:dyDescent="0.3">
      <c r="A12" s="6" t="s">
        <v>21</v>
      </c>
      <c r="B12" s="2">
        <v>2017</v>
      </c>
      <c r="C12" s="7">
        <v>3589</v>
      </c>
      <c r="D12" s="7">
        <v>45</v>
      </c>
      <c r="E12" s="14">
        <f t="shared" si="0"/>
        <v>74.00400801603206</v>
      </c>
      <c r="F12" s="7">
        <v>71.459999999999994</v>
      </c>
      <c r="G12" s="7">
        <v>4.3600000000000003</v>
      </c>
      <c r="H12" s="13">
        <f t="shared" si="1"/>
        <v>67.099999999999994</v>
      </c>
      <c r="I12" s="7">
        <v>1.2</v>
      </c>
      <c r="J12" s="7">
        <v>59.41</v>
      </c>
      <c r="K12" s="7">
        <v>99.65</v>
      </c>
      <c r="L12" s="13">
        <f t="shared" si="5"/>
        <v>58.515686274509804</v>
      </c>
      <c r="M12" s="7">
        <v>13.21</v>
      </c>
      <c r="N12" s="7">
        <v>8.93</v>
      </c>
      <c r="O12" s="13">
        <f t="shared" si="2"/>
        <v>64.121428571428567</v>
      </c>
      <c r="P12" s="7">
        <v>4.25</v>
      </c>
      <c r="Q12" s="12">
        <v>34129.839999999997</v>
      </c>
      <c r="R12" s="11">
        <v>5.5623139999999998</v>
      </c>
      <c r="S12" s="13">
        <f t="shared" si="3"/>
        <v>55.407409909622544</v>
      </c>
      <c r="T12" s="17">
        <f t="shared" si="4"/>
        <v>63.498610294559754</v>
      </c>
    </row>
    <row r="13" spans="1:20" ht="16.5" thickBot="1" x14ac:dyDescent="0.3">
      <c r="A13" s="6" t="s">
        <v>21</v>
      </c>
      <c r="B13" s="2">
        <v>2018</v>
      </c>
      <c r="C13" s="7">
        <v>3212</v>
      </c>
      <c r="D13" s="7">
        <v>51</v>
      </c>
      <c r="E13" s="14">
        <f t="shared" si="0"/>
        <v>71.381763527054105</v>
      </c>
      <c r="F13" s="7">
        <v>71.680000000000007</v>
      </c>
      <c r="G13" s="7">
        <v>3.19</v>
      </c>
      <c r="H13" s="13">
        <f t="shared" si="1"/>
        <v>73.966666666666683</v>
      </c>
      <c r="I13" s="7">
        <v>1.18</v>
      </c>
      <c r="J13" s="7">
        <v>27.08</v>
      </c>
      <c r="K13" s="7">
        <v>99.87</v>
      </c>
      <c r="L13" s="13">
        <f t="shared" si="5"/>
        <v>45.850588235294119</v>
      </c>
      <c r="M13" s="7">
        <v>13.23</v>
      </c>
      <c r="N13" s="7">
        <v>9</v>
      </c>
      <c r="O13" s="13">
        <f t="shared" si="2"/>
        <v>64.721428571428575</v>
      </c>
      <c r="P13" s="7">
        <v>4.01</v>
      </c>
      <c r="Q13" s="12">
        <v>35896.35</v>
      </c>
      <c r="R13" s="11">
        <v>6.3059000000000003</v>
      </c>
      <c r="S13" s="13">
        <f t="shared" si="3"/>
        <v>56.348936469962787</v>
      </c>
      <c r="T13" s="17">
        <f t="shared" si="4"/>
        <v>61.543247627665878</v>
      </c>
    </row>
    <row r="14" spans="1:20" ht="16.5" thickBot="1" x14ac:dyDescent="0.3">
      <c r="A14" s="6" t="s">
        <v>21</v>
      </c>
      <c r="B14" s="2">
        <v>2019</v>
      </c>
      <c r="C14" s="7">
        <v>3047</v>
      </c>
      <c r="D14" s="7">
        <v>38</v>
      </c>
      <c r="E14" s="14">
        <f t="shared" si="0"/>
        <v>78.047094188376747</v>
      </c>
      <c r="F14" s="7">
        <v>72</v>
      </c>
      <c r="G14" s="7">
        <v>2.96</v>
      </c>
      <c r="H14" s="13">
        <f t="shared" si="1"/>
        <v>75.777777777777771</v>
      </c>
      <c r="I14" s="7">
        <v>1.17</v>
      </c>
      <c r="J14" s="7">
        <v>69.87</v>
      </c>
      <c r="K14" s="7">
        <v>99.84</v>
      </c>
      <c r="L14" s="13">
        <f t="shared" si="5"/>
        <v>62.544313725490198</v>
      </c>
      <c r="M14" s="7">
        <v>13.27</v>
      </c>
      <c r="N14" s="7">
        <v>9.19</v>
      </c>
      <c r="O14" s="13">
        <f t="shared" si="2"/>
        <v>66.278571428571425</v>
      </c>
      <c r="P14" s="7">
        <v>3.79</v>
      </c>
      <c r="Q14" s="12">
        <v>37297.5</v>
      </c>
      <c r="R14" s="11">
        <v>5.595847</v>
      </c>
      <c r="S14" s="13">
        <f t="shared" si="3"/>
        <v>56.142861148325352</v>
      </c>
      <c r="T14" s="17">
        <f t="shared" si="4"/>
        <v>67.259064596151134</v>
      </c>
    </row>
    <row r="15" spans="1:20" ht="16.5" thickBot="1" x14ac:dyDescent="0.3">
      <c r="A15" s="6" t="s">
        <v>21</v>
      </c>
      <c r="B15" s="2">
        <v>2020</v>
      </c>
      <c r="C15" s="7">
        <v>2597</v>
      </c>
      <c r="D15" s="7">
        <v>34</v>
      </c>
      <c r="E15" s="14">
        <f t="shared" si="0"/>
        <v>80.497995991983956</v>
      </c>
      <c r="F15" s="7">
        <v>72.155000000000001</v>
      </c>
      <c r="G15" s="7">
        <v>2.96</v>
      </c>
      <c r="H15" s="13">
        <f t="shared" si="1"/>
        <v>76.036111111111111</v>
      </c>
      <c r="I15" s="7">
        <v>1.01</v>
      </c>
      <c r="J15" s="7">
        <v>64.92</v>
      </c>
      <c r="K15" s="7">
        <v>99.68</v>
      </c>
      <c r="L15" s="13">
        <f t="shared" si="5"/>
        <v>59.429803921568634</v>
      </c>
      <c r="M15" s="7">
        <v>13.33</v>
      </c>
      <c r="N15" s="7">
        <v>9.31</v>
      </c>
      <c r="O15" s="13">
        <f t="shared" si="2"/>
        <v>67.435714285714283</v>
      </c>
      <c r="P15" s="7">
        <v>3.78</v>
      </c>
      <c r="Q15" s="12">
        <v>34221.730000000003</v>
      </c>
      <c r="R15" s="11">
        <v>-9.33</v>
      </c>
      <c r="S15" s="13">
        <f t="shared" si="3"/>
        <v>44.55043641679957</v>
      </c>
      <c r="T15" s="17">
        <f t="shared" si="4"/>
        <v>64.22590572563243</v>
      </c>
    </row>
    <row r="16" spans="1:20" ht="16.5" thickBot="1" x14ac:dyDescent="0.3">
      <c r="A16" s="6" t="s">
        <v>22</v>
      </c>
      <c r="B16" s="2">
        <v>2015</v>
      </c>
      <c r="C16" s="7">
        <v>5002</v>
      </c>
      <c r="D16" s="7">
        <v>8</v>
      </c>
      <c r="E16" s="14">
        <f t="shared" si="0"/>
        <v>91.088176352705403</v>
      </c>
      <c r="F16" s="7">
        <v>69.430000000000007</v>
      </c>
      <c r="G16" s="7">
        <v>4.45</v>
      </c>
      <c r="H16" s="13">
        <f t="shared" si="1"/>
        <v>63.216666666666676</v>
      </c>
      <c r="I16" s="7">
        <v>2.27</v>
      </c>
      <c r="J16" s="7">
        <v>32.26</v>
      </c>
      <c r="K16" s="7">
        <v>85.95</v>
      </c>
      <c r="L16" s="13">
        <f t="shared" si="5"/>
        <v>45.868627450980391</v>
      </c>
      <c r="M16" s="7">
        <v>12.35</v>
      </c>
      <c r="N16" s="7">
        <v>8.6999999999999993</v>
      </c>
      <c r="O16" s="13">
        <f t="shared" si="2"/>
        <v>58.178571428571423</v>
      </c>
      <c r="P16" s="7">
        <v>5.9</v>
      </c>
      <c r="Q16" s="12">
        <v>30813.03</v>
      </c>
      <c r="R16" s="11">
        <v>5.4460860000000002</v>
      </c>
      <c r="S16" s="13">
        <f t="shared" si="3"/>
        <v>54.183863048024108</v>
      </c>
      <c r="T16" s="17">
        <f t="shared" si="4"/>
        <v>60.825890031627971</v>
      </c>
    </row>
    <row r="17" spans="1:20" ht="16.5" thickBot="1" x14ac:dyDescent="0.3">
      <c r="A17" s="6" t="s">
        <v>22</v>
      </c>
      <c r="B17" s="2">
        <v>2016</v>
      </c>
      <c r="C17" s="7">
        <v>4570</v>
      </c>
      <c r="D17" s="7">
        <v>16</v>
      </c>
      <c r="E17" s="14">
        <f t="shared" si="0"/>
        <v>87.521042084168329</v>
      </c>
      <c r="F17" s="7">
        <v>69.459999999999994</v>
      </c>
      <c r="G17" s="7">
        <v>4.22</v>
      </c>
      <c r="H17" s="13">
        <f t="shared" si="1"/>
        <v>64.544444444444437</v>
      </c>
      <c r="I17" s="7">
        <v>2.23</v>
      </c>
      <c r="J17" s="7">
        <v>50.27</v>
      </c>
      <c r="K17" s="7">
        <v>88.64</v>
      </c>
      <c r="L17" s="13">
        <f t="shared" si="5"/>
        <v>54.458039215686284</v>
      </c>
      <c r="M17" s="7">
        <v>12.7</v>
      </c>
      <c r="N17" s="7">
        <v>8.7899999999999991</v>
      </c>
      <c r="O17" s="13">
        <f t="shared" si="2"/>
        <v>60.571428571428562</v>
      </c>
      <c r="P17" s="7">
        <v>5.42</v>
      </c>
      <c r="Q17" s="12">
        <v>31781.56</v>
      </c>
      <c r="R17" s="11">
        <v>5.2820559999999999</v>
      </c>
      <c r="S17" s="13">
        <f t="shared" si="3"/>
        <v>54.393893049796205</v>
      </c>
      <c r="T17" s="17">
        <f t="shared" si="4"/>
        <v>63.265983158039916</v>
      </c>
    </row>
    <row r="18" spans="1:20" ht="16.5" thickBot="1" x14ac:dyDescent="0.3">
      <c r="A18" s="6" t="s">
        <v>22</v>
      </c>
      <c r="B18" s="2">
        <v>2017</v>
      </c>
      <c r="C18" s="7">
        <v>3692</v>
      </c>
      <c r="D18" s="7">
        <v>13</v>
      </c>
      <c r="E18" s="14">
        <f t="shared" si="0"/>
        <v>89.900801603206418</v>
      </c>
      <c r="F18" s="7">
        <v>69.489999999999995</v>
      </c>
      <c r="G18" s="7">
        <v>4.74</v>
      </c>
      <c r="H18" s="13">
        <f t="shared" si="1"/>
        <v>61.705555555555549</v>
      </c>
      <c r="I18" s="7">
        <v>2.2000000000000002</v>
      </c>
      <c r="J18" s="7">
        <v>52.11</v>
      </c>
      <c r="K18" s="7">
        <v>87.66</v>
      </c>
      <c r="L18" s="13">
        <f t="shared" si="5"/>
        <v>54.326274509803916</v>
      </c>
      <c r="M18" s="7">
        <v>12.78</v>
      </c>
      <c r="N18" s="7">
        <v>8.8699999999999992</v>
      </c>
      <c r="O18" s="13">
        <f t="shared" si="2"/>
        <v>61.54285714285713</v>
      </c>
      <c r="P18" s="7">
        <v>5.45</v>
      </c>
      <c r="Q18" s="12">
        <v>32947.599999999999</v>
      </c>
      <c r="R18" s="11">
        <v>5.7503590000000004</v>
      </c>
      <c r="S18" s="13">
        <f t="shared" si="3"/>
        <v>54.935251571858942</v>
      </c>
      <c r="T18" s="17">
        <f t="shared" si="4"/>
        <v>63.332306573788713</v>
      </c>
    </row>
    <row r="19" spans="1:20" ht="16.5" thickBot="1" x14ac:dyDescent="0.3">
      <c r="A19" s="6" t="s">
        <v>22</v>
      </c>
      <c r="B19" s="2">
        <v>2018</v>
      </c>
      <c r="C19" s="8">
        <v>3623</v>
      </c>
      <c r="D19" s="7">
        <v>10</v>
      </c>
      <c r="E19" s="14">
        <f t="shared" si="0"/>
        <v>91.469939879759522</v>
      </c>
      <c r="F19" s="7">
        <v>69.64</v>
      </c>
      <c r="G19" s="7">
        <v>5.98</v>
      </c>
      <c r="H19" s="13">
        <f t="shared" si="1"/>
        <v>55.066666666666663</v>
      </c>
      <c r="I19" s="7">
        <v>2.17</v>
      </c>
      <c r="J19" s="7">
        <v>36.83</v>
      </c>
      <c r="K19" s="7">
        <v>90.16</v>
      </c>
      <c r="L19" s="13">
        <f t="shared" si="5"/>
        <v>49.80078431372548</v>
      </c>
      <c r="M19" s="7">
        <v>12.85</v>
      </c>
      <c r="N19" s="7">
        <v>8.93</v>
      </c>
      <c r="O19" s="13">
        <f t="shared" si="2"/>
        <v>62.321428571428569</v>
      </c>
      <c r="P19" s="7">
        <v>5.24</v>
      </c>
      <c r="Q19" s="12">
        <v>34183.75</v>
      </c>
      <c r="R19" s="11">
        <v>5.76532</v>
      </c>
      <c r="S19" s="13">
        <f t="shared" si="3"/>
        <v>55.233909285840852</v>
      </c>
      <c r="T19" s="17">
        <f t="shared" si="4"/>
        <v>61.270201604446136</v>
      </c>
    </row>
    <row r="20" spans="1:20" ht="16.5" thickBot="1" x14ac:dyDescent="0.3">
      <c r="A20" s="6" t="s">
        <v>22</v>
      </c>
      <c r="B20" s="2">
        <v>2019</v>
      </c>
      <c r="C20" s="7">
        <v>3287</v>
      </c>
      <c r="D20" s="7">
        <v>2</v>
      </c>
      <c r="E20" s="14">
        <f t="shared" si="0"/>
        <v>95.80661322645291</v>
      </c>
      <c r="F20" s="7">
        <v>69.89</v>
      </c>
      <c r="G20" s="7">
        <v>6.97</v>
      </c>
      <c r="H20" s="13">
        <f t="shared" si="1"/>
        <v>49.983333333333334</v>
      </c>
      <c r="I20" s="7">
        <v>2.14</v>
      </c>
      <c r="J20" s="7">
        <v>64.55</v>
      </c>
      <c r="K20" s="7">
        <v>91.7</v>
      </c>
      <c r="L20" s="13">
        <f t="shared" si="5"/>
        <v>61.498039215686276</v>
      </c>
      <c r="M20" s="7">
        <v>12.88</v>
      </c>
      <c r="N20" s="7">
        <v>9.07</v>
      </c>
      <c r="O20" s="13">
        <f t="shared" si="2"/>
        <v>63.471428571428575</v>
      </c>
      <c r="P20" s="7">
        <v>5.09</v>
      </c>
      <c r="Q20" s="12">
        <v>35913.9</v>
      </c>
      <c r="R20" s="11">
        <v>5.2925389999999997</v>
      </c>
      <c r="S20" s="13">
        <f t="shared" si="3"/>
        <v>55.23774127591706</v>
      </c>
      <c r="T20" s="17">
        <f t="shared" si="4"/>
        <v>63.500805085519758</v>
      </c>
    </row>
    <row r="21" spans="1:20" ht="16.5" thickBot="1" x14ac:dyDescent="0.3">
      <c r="A21" s="6" t="s">
        <v>22</v>
      </c>
      <c r="B21" s="2">
        <v>2020</v>
      </c>
      <c r="C21" s="8">
        <v>4250</v>
      </c>
      <c r="D21" s="7">
        <v>3</v>
      </c>
      <c r="E21" s="14">
        <f t="shared" si="0"/>
        <v>94.341683366733463</v>
      </c>
      <c r="F21" s="7">
        <v>70.004999999999995</v>
      </c>
      <c r="G21" s="7">
        <v>7</v>
      </c>
      <c r="H21" s="13">
        <f t="shared" si="1"/>
        <v>50.008333333333319</v>
      </c>
      <c r="I21" s="7">
        <v>1.1000000000000001</v>
      </c>
      <c r="J21" s="7">
        <v>68.84</v>
      </c>
      <c r="K21" s="7">
        <v>91.79</v>
      </c>
      <c r="L21" s="13">
        <f t="shared" si="5"/>
        <v>56.30705882352941</v>
      </c>
      <c r="M21" s="7">
        <v>12.89</v>
      </c>
      <c r="N21" s="7">
        <v>9.2200000000000006</v>
      </c>
      <c r="O21" s="13">
        <f t="shared" si="2"/>
        <v>64.592857142857156</v>
      </c>
      <c r="P21" s="7">
        <v>5.92</v>
      </c>
      <c r="Q21" s="12">
        <v>37164.35</v>
      </c>
      <c r="R21" s="11">
        <v>-3.39</v>
      </c>
      <c r="S21" s="13">
        <f t="shared" si="3"/>
        <v>48.746146819067874</v>
      </c>
      <c r="T21" s="17">
        <f t="shared" si="4"/>
        <v>60.881693785892104</v>
      </c>
    </row>
    <row r="22" spans="1:20" ht="16.5" thickBot="1" x14ac:dyDescent="0.3">
      <c r="A22" s="6" t="s">
        <v>23</v>
      </c>
      <c r="B22" s="2">
        <v>2015</v>
      </c>
      <c r="C22" s="7">
        <v>4463</v>
      </c>
      <c r="D22" s="7">
        <v>11</v>
      </c>
      <c r="E22" s="14">
        <f t="shared" si="0"/>
        <v>90.128256513026045</v>
      </c>
      <c r="F22" s="7">
        <v>68.5</v>
      </c>
      <c r="G22" s="7">
        <v>5.52</v>
      </c>
      <c r="H22" s="13">
        <f t="shared" si="1"/>
        <v>55.722222222222229</v>
      </c>
      <c r="I22" s="7">
        <v>1.71</v>
      </c>
      <c r="J22" s="7">
        <v>40.42</v>
      </c>
      <c r="K22" s="7">
        <v>94.91</v>
      </c>
      <c r="L22" s="13">
        <f t="shared" si="5"/>
        <v>51.308627450980381</v>
      </c>
      <c r="M22" s="7">
        <v>13.18</v>
      </c>
      <c r="N22" s="7">
        <v>8.74</v>
      </c>
      <c r="O22" s="13">
        <f t="shared" si="2"/>
        <v>62.614285714285714</v>
      </c>
      <c r="P22" s="7">
        <v>17.88</v>
      </c>
      <c r="Q22" s="12">
        <v>20302.48</v>
      </c>
      <c r="R22" s="11">
        <v>5.1339579999999998</v>
      </c>
      <c r="S22" s="13">
        <f t="shared" si="3"/>
        <v>48.075030948077263</v>
      </c>
      <c r="T22" s="17">
        <f t="shared" si="4"/>
        <v>59.970070530372311</v>
      </c>
    </row>
    <row r="23" spans="1:20" ht="16.5" thickBot="1" x14ac:dyDescent="0.3">
      <c r="A23" s="6" t="s">
        <v>23</v>
      </c>
      <c r="B23" s="2">
        <v>2016</v>
      </c>
      <c r="C23" s="7">
        <v>5904</v>
      </c>
      <c r="D23" s="7">
        <v>11</v>
      </c>
      <c r="E23" s="14">
        <f t="shared" si="0"/>
        <v>88.684368737474955</v>
      </c>
      <c r="F23" s="7">
        <v>68.56</v>
      </c>
      <c r="G23" s="7">
        <v>4.92</v>
      </c>
      <c r="H23" s="13">
        <f t="shared" si="1"/>
        <v>59.155555555555559</v>
      </c>
      <c r="I23" s="7">
        <v>1.69</v>
      </c>
      <c r="J23" s="7">
        <v>45.6</v>
      </c>
      <c r="K23" s="7">
        <v>95.17</v>
      </c>
      <c r="L23" s="13">
        <f t="shared" si="5"/>
        <v>53.379999999999995</v>
      </c>
      <c r="M23" s="7">
        <v>13.38</v>
      </c>
      <c r="N23" s="7">
        <v>8.82</v>
      </c>
      <c r="O23" s="13">
        <f t="shared" si="2"/>
        <v>64.185714285714283</v>
      </c>
      <c r="P23" s="7">
        <v>17.32</v>
      </c>
      <c r="Q23" s="12">
        <v>21039.84</v>
      </c>
      <c r="R23" s="11">
        <v>5.2816939999999999</v>
      </c>
      <c r="S23" s="13">
        <f t="shared" si="3"/>
        <v>48.502378614212297</v>
      </c>
      <c r="T23" s="17">
        <f t="shared" si="4"/>
        <v>61.388146429613755</v>
      </c>
    </row>
    <row r="24" spans="1:20" ht="16.5" thickBot="1" x14ac:dyDescent="0.3">
      <c r="A24" s="6" t="s">
        <v>23</v>
      </c>
      <c r="B24" s="2">
        <v>2017</v>
      </c>
      <c r="C24" s="7">
        <v>4867</v>
      </c>
      <c r="D24" s="7">
        <v>11</v>
      </c>
      <c r="E24" s="14">
        <f t="shared" si="0"/>
        <v>89.723446893787568</v>
      </c>
      <c r="F24" s="7">
        <v>68.59</v>
      </c>
      <c r="G24" s="7">
        <v>4.58</v>
      </c>
      <c r="H24" s="13">
        <f t="shared" si="1"/>
        <v>61.094444444444449</v>
      </c>
      <c r="I24" s="7">
        <v>1.67</v>
      </c>
      <c r="J24" s="7">
        <v>71.150000000000006</v>
      </c>
      <c r="K24" s="7">
        <v>93.4</v>
      </c>
      <c r="L24" s="13">
        <f t="shared" si="5"/>
        <v>62.086274509803921</v>
      </c>
      <c r="M24" s="7">
        <v>13.57</v>
      </c>
      <c r="N24" s="7">
        <v>8.91</v>
      </c>
      <c r="O24" s="13">
        <f t="shared" si="2"/>
        <v>65.778571428571425</v>
      </c>
      <c r="P24" s="7">
        <v>16.45</v>
      </c>
      <c r="Q24" s="12">
        <v>21751.64</v>
      </c>
      <c r="R24" s="11">
        <v>4.9829150000000002</v>
      </c>
      <c r="S24" s="13">
        <f t="shared" si="3"/>
        <v>48.698867322346267</v>
      </c>
      <c r="T24" s="17">
        <f t="shared" si="4"/>
        <v>64.195016308731425</v>
      </c>
    </row>
    <row r="25" spans="1:20" ht="16.5" thickBot="1" x14ac:dyDescent="0.3">
      <c r="A25" s="6" t="s">
        <v>23</v>
      </c>
      <c r="B25" s="2">
        <v>2018</v>
      </c>
      <c r="C25" s="7">
        <v>3389</v>
      </c>
      <c r="D25" s="7">
        <v>13</v>
      </c>
      <c r="E25" s="14">
        <f t="shared" si="0"/>
        <v>90.204408817635269</v>
      </c>
      <c r="F25" s="7">
        <v>68.84</v>
      </c>
      <c r="G25" s="7">
        <v>5.65</v>
      </c>
      <c r="H25" s="13">
        <f t="shared" si="1"/>
        <v>55.566666666666677</v>
      </c>
      <c r="I25" s="7">
        <v>1.65</v>
      </c>
      <c r="J25" s="7">
        <v>46.78</v>
      </c>
      <c r="K25" s="7">
        <v>95.8</v>
      </c>
      <c r="L25" s="13">
        <f t="shared" si="5"/>
        <v>53.996078431372538</v>
      </c>
      <c r="M25" s="7">
        <v>13.58</v>
      </c>
      <c r="N25" s="7">
        <v>8.94</v>
      </c>
      <c r="O25" s="13">
        <f t="shared" si="2"/>
        <v>66.04285714285713</v>
      </c>
      <c r="P25" s="7">
        <v>15.43</v>
      </c>
      <c r="Q25" s="12">
        <v>22494.84</v>
      </c>
      <c r="R25" s="11">
        <v>4.9688970000000001</v>
      </c>
      <c r="S25" s="13">
        <f t="shared" si="3"/>
        <v>49.162303926989196</v>
      </c>
      <c r="T25" s="17">
        <f t="shared" si="4"/>
        <v>61.485467850934725</v>
      </c>
    </row>
    <row r="26" spans="1:20" ht="16.5" thickBot="1" x14ac:dyDescent="0.3">
      <c r="A26" s="6" t="s">
        <v>23</v>
      </c>
      <c r="B26" s="2">
        <v>2019</v>
      </c>
      <c r="C26" s="7">
        <v>3453</v>
      </c>
      <c r="D26" s="7">
        <v>14</v>
      </c>
      <c r="E26" s="14">
        <f t="shared" si="0"/>
        <v>89.640280561122239</v>
      </c>
      <c r="F26" s="7">
        <v>69.204999999999998</v>
      </c>
      <c r="G26" s="7">
        <v>5.33</v>
      </c>
      <c r="H26" s="13">
        <f t="shared" si="1"/>
        <v>57.952777777777783</v>
      </c>
      <c r="I26" s="7">
        <v>1.63</v>
      </c>
      <c r="J26" s="7">
        <v>60.86</v>
      </c>
      <c r="K26" s="7">
        <v>96.52</v>
      </c>
      <c r="L26" s="13">
        <f t="shared" si="5"/>
        <v>59.864313725490192</v>
      </c>
      <c r="M26" s="7">
        <v>13.59</v>
      </c>
      <c r="N26" s="7">
        <v>9.08</v>
      </c>
      <c r="O26" s="13">
        <f t="shared" si="2"/>
        <v>67.092857142857142</v>
      </c>
      <c r="P26" s="7">
        <v>15.23</v>
      </c>
      <c r="Q26" s="12">
        <v>23504.53</v>
      </c>
      <c r="R26" s="11">
        <v>4.9391689999999997</v>
      </c>
      <c r="S26" s="13">
        <f t="shared" si="3"/>
        <v>49.384761850079748</v>
      </c>
      <c r="T26" s="17">
        <f t="shared" si="4"/>
        <v>63.475034357010799</v>
      </c>
    </row>
    <row r="27" spans="1:20" ht="16.5" thickBot="1" x14ac:dyDescent="0.3">
      <c r="A27" s="6" t="s">
        <v>23</v>
      </c>
      <c r="B27" s="2">
        <v>2020</v>
      </c>
      <c r="C27" s="7">
        <v>3333</v>
      </c>
      <c r="D27" s="7">
        <v>11</v>
      </c>
      <c r="E27" s="14">
        <f t="shared" si="0"/>
        <v>91.260521042084179</v>
      </c>
      <c r="F27" s="7">
        <v>69.37</v>
      </c>
      <c r="G27" s="7">
        <v>5.14</v>
      </c>
      <c r="H27" s="13">
        <f t="shared" si="1"/>
        <v>59.283333333333346</v>
      </c>
      <c r="I27" s="7">
        <v>1.55</v>
      </c>
      <c r="J27" s="7">
        <v>62.3</v>
      </c>
      <c r="K27" s="7">
        <v>97.78</v>
      </c>
      <c r="L27" s="13">
        <f t="shared" si="5"/>
        <v>60.735686274509803</v>
      </c>
      <c r="M27" s="7">
        <v>13.61</v>
      </c>
      <c r="N27" s="7">
        <v>9.1999999999999993</v>
      </c>
      <c r="O27" s="13">
        <f t="shared" si="2"/>
        <v>68.049999999999983</v>
      </c>
      <c r="P27" s="7">
        <v>15.03</v>
      </c>
      <c r="Q27" s="12">
        <v>23105.919999999998</v>
      </c>
      <c r="R27" s="11">
        <v>-0.02</v>
      </c>
      <c r="S27" s="13">
        <f t="shared" si="3"/>
        <v>45.708711819953926</v>
      </c>
      <c r="T27" s="17">
        <f t="shared" si="4"/>
        <v>63.371986743992316</v>
      </c>
    </row>
    <row r="28" spans="1:20" ht="16.5" thickBot="1" x14ac:dyDescent="0.3">
      <c r="A28" s="6" t="s">
        <v>24</v>
      </c>
      <c r="B28" s="2">
        <v>2015</v>
      </c>
      <c r="C28" s="7">
        <v>44461</v>
      </c>
      <c r="D28" s="7">
        <v>7</v>
      </c>
      <c r="E28" s="14">
        <f t="shared" si="0"/>
        <v>52.050100200400792</v>
      </c>
      <c r="F28" s="7">
        <v>72.430000000000007</v>
      </c>
      <c r="G28" s="7">
        <v>3.4</v>
      </c>
      <c r="H28" s="13">
        <f t="shared" si="1"/>
        <v>74.050000000000011</v>
      </c>
      <c r="I28" s="7">
        <v>1.0900000000000001</v>
      </c>
      <c r="J28" s="7">
        <v>37.880000000000003</v>
      </c>
      <c r="K28" s="7">
        <v>100</v>
      </c>
      <c r="L28" s="13">
        <f t="shared" si="5"/>
        <v>49.572549019607841</v>
      </c>
      <c r="M28" s="7">
        <v>12.59</v>
      </c>
      <c r="N28" s="7">
        <v>10.9</v>
      </c>
      <c r="O28" s="13">
        <f t="shared" si="2"/>
        <v>75.092857142857142</v>
      </c>
      <c r="P28" s="7">
        <v>3.93</v>
      </c>
      <c r="Q28" s="12">
        <v>142913.60999999999</v>
      </c>
      <c r="R28" s="11">
        <v>5.9105400000000001</v>
      </c>
      <c r="S28" s="13">
        <f t="shared" si="3"/>
        <v>74.857971132376406</v>
      </c>
      <c r="T28" s="17">
        <f t="shared" si="4"/>
        <v>64.003675245464905</v>
      </c>
    </row>
    <row r="29" spans="1:20" ht="16.5" thickBot="1" x14ac:dyDescent="0.3">
      <c r="A29" s="6" t="s">
        <v>24</v>
      </c>
      <c r="B29" s="2">
        <v>2016</v>
      </c>
      <c r="C29" s="7">
        <v>43842</v>
      </c>
      <c r="D29" s="7">
        <v>15</v>
      </c>
      <c r="E29" s="14">
        <f t="shared" si="0"/>
        <v>48.670340681362724</v>
      </c>
      <c r="F29" s="7">
        <v>72.489999999999995</v>
      </c>
      <c r="G29" s="7">
        <v>3.08</v>
      </c>
      <c r="H29" s="13">
        <f t="shared" si="1"/>
        <v>75.927777777777777</v>
      </c>
      <c r="I29" s="7">
        <v>1.07</v>
      </c>
      <c r="J29" s="7">
        <v>48</v>
      </c>
      <c r="K29" s="7">
        <v>98.82</v>
      </c>
      <c r="L29" s="13">
        <f t="shared" si="5"/>
        <v>52.621176470588225</v>
      </c>
      <c r="M29" s="7">
        <v>12.73</v>
      </c>
      <c r="N29" s="7">
        <v>10.92</v>
      </c>
      <c r="O29" s="13">
        <f t="shared" si="2"/>
        <v>75.935714285714283</v>
      </c>
      <c r="P29" s="7">
        <v>3.75</v>
      </c>
      <c r="Q29" s="12">
        <v>149831.9</v>
      </c>
      <c r="R29" s="11">
        <v>5.867947</v>
      </c>
      <c r="S29" s="13">
        <f t="shared" si="3"/>
        <v>76.100761910331386</v>
      </c>
      <c r="T29" s="17">
        <f t="shared" si="4"/>
        <v>64.585071288695474</v>
      </c>
    </row>
    <row r="30" spans="1:20" ht="16.5" thickBot="1" x14ac:dyDescent="0.3">
      <c r="A30" s="6" t="s">
        <v>24</v>
      </c>
      <c r="B30" s="2">
        <v>2017</v>
      </c>
      <c r="C30" s="7">
        <v>34767</v>
      </c>
      <c r="D30" s="7">
        <v>36</v>
      </c>
      <c r="E30" s="14">
        <f t="shared" si="0"/>
        <v>47.263527054108216</v>
      </c>
      <c r="F30" s="7">
        <v>72.55</v>
      </c>
      <c r="G30" s="7">
        <v>3.56</v>
      </c>
      <c r="H30" s="13">
        <f t="shared" si="1"/>
        <v>73.3611111111111</v>
      </c>
      <c r="I30" s="7">
        <v>1.05</v>
      </c>
      <c r="J30" s="7">
        <v>50.65</v>
      </c>
      <c r="K30" s="7">
        <v>99.59</v>
      </c>
      <c r="L30" s="13">
        <f t="shared" si="5"/>
        <v>54.040392156862751</v>
      </c>
      <c r="M30" s="7">
        <v>12.86</v>
      </c>
      <c r="N30" s="7">
        <v>10.97</v>
      </c>
      <c r="O30" s="13">
        <f t="shared" si="2"/>
        <v>76.94285714285715</v>
      </c>
      <c r="P30" s="7">
        <v>3.77</v>
      </c>
      <c r="Q30" s="12">
        <v>157636.6</v>
      </c>
      <c r="R30" s="11">
        <v>6.1978850000000003</v>
      </c>
      <c r="S30" s="13">
        <f t="shared" si="3"/>
        <v>77.707672036150981</v>
      </c>
      <c r="T30" s="17">
        <f t="shared" si="4"/>
        <v>64.545882875195318</v>
      </c>
    </row>
    <row r="31" spans="1:20" ht="16.5" thickBot="1" x14ac:dyDescent="0.3">
      <c r="A31" s="6" t="s">
        <v>24</v>
      </c>
      <c r="B31" s="2">
        <v>2018</v>
      </c>
      <c r="C31" s="7">
        <v>34655</v>
      </c>
      <c r="D31" s="7">
        <v>23</v>
      </c>
      <c r="E31" s="14">
        <f t="shared" si="0"/>
        <v>53.875751503006008</v>
      </c>
      <c r="F31" s="7">
        <v>72.67</v>
      </c>
      <c r="G31" s="7">
        <v>3.2</v>
      </c>
      <c r="H31" s="13">
        <f t="shared" si="1"/>
        <v>75.561111111111117</v>
      </c>
      <c r="I31" s="7">
        <v>1.03</v>
      </c>
      <c r="J31" s="7">
        <v>45.66</v>
      </c>
      <c r="K31" s="7">
        <v>99.72</v>
      </c>
      <c r="L31" s="13">
        <f t="shared" si="5"/>
        <v>52.036862745098034</v>
      </c>
      <c r="M31" s="7">
        <v>12.95</v>
      </c>
      <c r="N31" s="7">
        <v>11.06</v>
      </c>
      <c r="O31" s="13">
        <f t="shared" si="2"/>
        <v>78.035714285714292</v>
      </c>
      <c r="P31" s="7">
        <v>3.57</v>
      </c>
      <c r="Q31" s="12">
        <v>165769</v>
      </c>
      <c r="R31" s="11">
        <v>6.1056400000000002</v>
      </c>
      <c r="S31" s="13">
        <f t="shared" si="3"/>
        <v>79.133419315966691</v>
      </c>
      <c r="T31" s="17">
        <f t="shared" si="4"/>
        <v>66.578073574682037</v>
      </c>
    </row>
    <row r="32" spans="1:20" ht="16.5" thickBot="1" x14ac:dyDescent="0.3">
      <c r="A32" s="6" t="s">
        <v>24</v>
      </c>
      <c r="B32" s="2">
        <v>2019</v>
      </c>
      <c r="C32" s="7">
        <v>31934</v>
      </c>
      <c r="D32" s="7">
        <v>25</v>
      </c>
      <c r="E32" s="14">
        <f t="shared" si="0"/>
        <v>55.602204408817634</v>
      </c>
      <c r="F32" s="7">
        <v>72.819999999999993</v>
      </c>
      <c r="G32" s="7">
        <v>2.81</v>
      </c>
      <c r="H32" s="13">
        <f t="shared" si="1"/>
        <v>77.977777777777774</v>
      </c>
      <c r="I32" s="7">
        <v>1.02</v>
      </c>
      <c r="J32" s="7">
        <v>68.08</v>
      </c>
      <c r="K32" s="7">
        <v>99.86</v>
      </c>
      <c r="L32" s="13">
        <f t="shared" si="5"/>
        <v>60.8556862745098</v>
      </c>
      <c r="M32" s="7">
        <v>12.97</v>
      </c>
      <c r="N32" s="7">
        <v>11.11</v>
      </c>
      <c r="O32" s="13">
        <f t="shared" si="2"/>
        <v>78.492857142857147</v>
      </c>
      <c r="P32" s="7">
        <v>3.47</v>
      </c>
      <c r="Q32" s="12">
        <v>174813</v>
      </c>
      <c r="R32" s="11">
        <v>5.8200620000000001</v>
      </c>
      <c r="S32" s="13">
        <f t="shared" si="3"/>
        <v>80.54221675704413</v>
      </c>
      <c r="T32" s="17">
        <f t="shared" si="4"/>
        <v>69.894587960966561</v>
      </c>
    </row>
    <row r="33" spans="1:20" ht="16.5" thickBot="1" x14ac:dyDescent="0.3">
      <c r="A33" s="6" t="s">
        <v>24</v>
      </c>
      <c r="B33" s="2">
        <v>2020</v>
      </c>
      <c r="C33" s="7">
        <v>26585</v>
      </c>
      <c r="D33" s="7">
        <v>11</v>
      </c>
      <c r="E33" s="14">
        <f t="shared" si="0"/>
        <v>67.961923847695388</v>
      </c>
      <c r="F33" s="7">
        <v>72.95</v>
      </c>
      <c r="G33" s="7">
        <v>3.93</v>
      </c>
      <c r="H33" s="13">
        <f t="shared" si="1"/>
        <v>71.972222222222229</v>
      </c>
      <c r="I33" s="7">
        <v>0.92</v>
      </c>
      <c r="J33" s="7">
        <v>70.86</v>
      </c>
      <c r="K33" s="7">
        <v>99.43</v>
      </c>
      <c r="L33" s="13">
        <f t="shared" si="5"/>
        <v>60.992549019607843</v>
      </c>
      <c r="M33" s="7">
        <v>12.98</v>
      </c>
      <c r="N33" s="7">
        <v>11.17</v>
      </c>
      <c r="O33" s="13">
        <f t="shared" si="2"/>
        <v>78.971428571428575</v>
      </c>
      <c r="P33" s="7">
        <v>4.53</v>
      </c>
      <c r="Q33" s="12">
        <v>170100</v>
      </c>
      <c r="R33" s="11">
        <v>-2.39</v>
      </c>
      <c r="S33" s="13">
        <f t="shared" si="3"/>
        <v>73.276944887471203</v>
      </c>
      <c r="T33" s="17">
        <f t="shared" si="4"/>
        <v>70.376706982959931</v>
      </c>
    </row>
    <row r="34" spans="1:20" ht="16.5" thickBot="1" x14ac:dyDescent="0.3">
      <c r="A34" s="6" t="s">
        <v>25</v>
      </c>
      <c r="B34" s="2">
        <v>2015</v>
      </c>
      <c r="C34" s="7">
        <v>2003</v>
      </c>
      <c r="D34" s="7">
        <v>9</v>
      </c>
      <c r="E34" s="14">
        <f t="shared" si="0"/>
        <v>93.593186372745492</v>
      </c>
      <c r="F34" s="7">
        <v>67.12</v>
      </c>
      <c r="G34" s="7">
        <v>8.51</v>
      </c>
      <c r="H34" s="13">
        <f t="shared" si="1"/>
        <v>36.811111111111117</v>
      </c>
      <c r="I34" s="7">
        <v>1.64</v>
      </c>
      <c r="J34" s="7">
        <v>25.89</v>
      </c>
      <c r="K34" s="7">
        <v>87.65</v>
      </c>
      <c r="L34" s="13">
        <f t="shared" si="5"/>
        <v>40.303921568627452</v>
      </c>
      <c r="M34" s="7">
        <v>12.7</v>
      </c>
      <c r="N34" s="7">
        <v>7.58</v>
      </c>
      <c r="O34" s="13">
        <f t="shared" si="2"/>
        <v>51.928571428571423</v>
      </c>
      <c r="P34" s="7">
        <v>18.32</v>
      </c>
      <c r="Q34" s="12">
        <v>19474.13</v>
      </c>
      <c r="R34" s="11">
        <v>6.2235870000000002</v>
      </c>
      <c r="S34" s="13">
        <f t="shared" si="3"/>
        <v>48.5886908311182</v>
      </c>
      <c r="T34" s="17">
        <f t="shared" si="4"/>
        <v>51.156686581526735</v>
      </c>
    </row>
    <row r="35" spans="1:20" ht="16.5" thickBot="1" x14ac:dyDescent="0.3">
      <c r="A35" s="6" t="s">
        <v>25</v>
      </c>
      <c r="B35" s="2">
        <v>2016</v>
      </c>
      <c r="C35" s="7">
        <v>2481</v>
      </c>
      <c r="D35" s="7">
        <v>10</v>
      </c>
      <c r="E35" s="14">
        <f t="shared" si="0"/>
        <v>92.614228456913821</v>
      </c>
      <c r="F35" s="7">
        <v>67.13</v>
      </c>
      <c r="G35" s="7">
        <v>6.23</v>
      </c>
      <c r="H35" s="13">
        <f t="shared" si="1"/>
        <v>49.494444444444433</v>
      </c>
      <c r="I35" s="7">
        <v>1.62</v>
      </c>
      <c r="J35" s="7">
        <v>21.27</v>
      </c>
      <c r="K35" s="7">
        <v>89.87</v>
      </c>
      <c r="L35" s="13">
        <f t="shared" si="5"/>
        <v>39.838823529411769</v>
      </c>
      <c r="M35" s="7">
        <v>12.88</v>
      </c>
      <c r="N35" s="7">
        <v>7.71</v>
      </c>
      <c r="O35" s="13">
        <f t="shared" si="2"/>
        <v>53.75714285714286</v>
      </c>
      <c r="P35" s="7">
        <v>17.72</v>
      </c>
      <c r="Q35" s="12">
        <v>20427.46</v>
      </c>
      <c r="R35" s="11">
        <v>6.5178440000000002</v>
      </c>
      <c r="S35" s="13">
        <f t="shared" si="3"/>
        <v>49.175930058479537</v>
      </c>
      <c r="T35" s="17">
        <f t="shared" si="4"/>
        <v>54.543862178589926</v>
      </c>
    </row>
    <row r="36" spans="1:20" ht="16.5" thickBot="1" x14ac:dyDescent="0.3">
      <c r="A36" s="6" t="s">
        <v>25</v>
      </c>
      <c r="B36" s="2">
        <v>2017</v>
      </c>
      <c r="C36" s="7">
        <v>1258</v>
      </c>
      <c r="D36" s="7">
        <v>19</v>
      </c>
      <c r="E36" s="14">
        <f t="shared" si="0"/>
        <v>89.339679358717433</v>
      </c>
      <c r="F36" s="7">
        <v>67.14</v>
      </c>
      <c r="G36" s="7">
        <v>8.81</v>
      </c>
      <c r="H36" s="13">
        <f t="shared" si="1"/>
        <v>35.177777777777777</v>
      </c>
      <c r="I36" s="7">
        <v>1.61</v>
      </c>
      <c r="J36" s="7">
        <v>24.96</v>
      </c>
      <c r="K36" s="7">
        <v>95.72</v>
      </c>
      <c r="L36" s="13">
        <f t="shared" si="5"/>
        <v>45.119215686274508</v>
      </c>
      <c r="M36" s="7">
        <v>13.01</v>
      </c>
      <c r="N36" s="7">
        <v>7.77</v>
      </c>
      <c r="O36" s="13">
        <f t="shared" si="2"/>
        <v>54.835714285714275</v>
      </c>
      <c r="P36" s="7">
        <v>17.649999999999999</v>
      </c>
      <c r="Q36" s="12">
        <v>21477.78</v>
      </c>
      <c r="R36" s="11">
        <v>6.7337639999999999</v>
      </c>
      <c r="S36" s="13">
        <f t="shared" si="3"/>
        <v>49.543706489455964</v>
      </c>
      <c r="T36" s="17">
        <f t="shared" si="4"/>
        <v>52.136907358580643</v>
      </c>
    </row>
    <row r="37" spans="1:20" ht="16.5" thickBot="1" x14ac:dyDescent="0.3">
      <c r="A37" s="6" t="s">
        <v>25</v>
      </c>
      <c r="B37" s="2">
        <v>2018</v>
      </c>
      <c r="C37" s="7">
        <v>2836</v>
      </c>
      <c r="D37" s="7">
        <v>21</v>
      </c>
      <c r="E37" s="14">
        <f t="shared" si="0"/>
        <v>86.758517034068134</v>
      </c>
      <c r="F37" s="7">
        <v>67.45</v>
      </c>
      <c r="G37" s="7">
        <v>7.46</v>
      </c>
      <c r="H37" s="13">
        <f t="shared" si="1"/>
        <v>43.19444444444445</v>
      </c>
      <c r="I37" s="7">
        <v>1.59</v>
      </c>
      <c r="J37" s="7">
        <v>42.19</v>
      </c>
      <c r="K37" s="7">
        <v>94.99</v>
      </c>
      <c r="L37" s="13">
        <f t="shared" si="5"/>
        <v>51.256078431372551</v>
      </c>
      <c r="M37" s="7">
        <v>13.03</v>
      </c>
      <c r="N37" s="7">
        <v>7.83</v>
      </c>
      <c r="O37" s="13">
        <f t="shared" si="2"/>
        <v>55.364285714285714</v>
      </c>
      <c r="P37" s="7">
        <v>16.809999999999999</v>
      </c>
      <c r="Q37" s="12">
        <v>22538.55</v>
      </c>
      <c r="R37" s="11">
        <v>6.4931510000000001</v>
      </c>
      <c r="S37" s="13">
        <f t="shared" si="3"/>
        <v>49.834402920432389</v>
      </c>
      <c r="T37" s="17">
        <f t="shared" si="4"/>
        <v>55.571084161140369</v>
      </c>
    </row>
    <row r="38" spans="1:20" ht="16.5" thickBot="1" x14ac:dyDescent="0.3">
      <c r="A38" s="6" t="s">
        <v>25</v>
      </c>
      <c r="B38" s="2">
        <v>2019</v>
      </c>
      <c r="C38" s="7">
        <v>2367</v>
      </c>
      <c r="D38" s="7">
        <v>9</v>
      </c>
      <c r="E38" s="14">
        <f t="shared" si="0"/>
        <v>93.228456913827657</v>
      </c>
      <c r="F38" s="7">
        <v>67.974999999999994</v>
      </c>
      <c r="G38" s="7">
        <v>7.89</v>
      </c>
      <c r="H38" s="13">
        <f t="shared" si="1"/>
        <v>41.68055555555555</v>
      </c>
      <c r="I38" s="7">
        <v>1.58</v>
      </c>
      <c r="J38" s="7">
        <v>50.98</v>
      </c>
      <c r="K38" s="7">
        <v>97.68</v>
      </c>
      <c r="L38" s="13">
        <f t="shared" si="5"/>
        <v>56.429803921568634</v>
      </c>
      <c r="M38" s="7">
        <v>13.06</v>
      </c>
      <c r="N38" s="7">
        <v>8.11</v>
      </c>
      <c r="O38" s="13">
        <f t="shared" si="2"/>
        <v>57.51428571428572</v>
      </c>
      <c r="P38" s="7">
        <v>15.52</v>
      </c>
      <c r="Q38" s="12">
        <v>24167.56</v>
      </c>
      <c r="R38" s="11">
        <v>6.3967689999999999</v>
      </c>
      <c r="S38" s="13">
        <f t="shared" si="3"/>
        <v>50.483143508771931</v>
      </c>
      <c r="T38" s="17">
        <f t="shared" si="4"/>
        <v>57.647772558761616</v>
      </c>
    </row>
    <row r="39" spans="1:20" ht="16.5" thickBot="1" x14ac:dyDescent="0.3">
      <c r="A39" s="6" t="s">
        <v>25</v>
      </c>
      <c r="B39" s="2">
        <v>2020</v>
      </c>
      <c r="C39" s="7">
        <v>2518</v>
      </c>
      <c r="D39" s="7">
        <v>7</v>
      </c>
      <c r="E39" s="14">
        <f t="shared" si="0"/>
        <v>94.077154308617224</v>
      </c>
      <c r="F39" s="7">
        <v>68.114999999999995</v>
      </c>
      <c r="G39" s="7">
        <v>6.03</v>
      </c>
      <c r="H39" s="13">
        <f t="shared" si="1"/>
        <v>52.247222222222213</v>
      </c>
      <c r="I39" s="7">
        <v>1.1599999999999999</v>
      </c>
      <c r="J39" s="7">
        <v>56.22</v>
      </c>
      <c r="K39" s="7">
        <v>98.22</v>
      </c>
      <c r="L39" s="13">
        <f t="shared" si="5"/>
        <v>56.044705882352943</v>
      </c>
      <c r="M39" s="7">
        <v>13.08</v>
      </c>
      <c r="N39" s="7">
        <v>8.26</v>
      </c>
      <c r="O39" s="13">
        <f t="shared" si="2"/>
        <v>58.685714285714283</v>
      </c>
      <c r="P39" s="7">
        <v>15.22</v>
      </c>
      <c r="Q39" s="12">
        <v>24313.24</v>
      </c>
      <c r="R39" s="11">
        <v>-0.02</v>
      </c>
      <c r="S39" s="13">
        <f t="shared" si="3"/>
        <v>45.856549282296648</v>
      </c>
      <c r="T39" s="17">
        <f t="shared" si="4"/>
        <v>59.42964658292221</v>
      </c>
    </row>
    <row r="40" spans="1:20" ht="16.5" thickBot="1" x14ac:dyDescent="0.3">
      <c r="A40" s="6" t="s">
        <v>26</v>
      </c>
      <c r="B40" s="2">
        <v>2015</v>
      </c>
      <c r="C40" s="7">
        <v>10564</v>
      </c>
      <c r="D40" s="7">
        <v>15</v>
      </c>
      <c r="E40" s="14">
        <f t="shared" si="0"/>
        <v>82.015030060120225</v>
      </c>
      <c r="F40" s="7">
        <v>70.56</v>
      </c>
      <c r="G40" s="7">
        <v>4.57</v>
      </c>
      <c r="H40" s="13">
        <f t="shared" si="1"/>
        <v>64.433333333333337</v>
      </c>
      <c r="I40" s="7">
        <v>1.83</v>
      </c>
      <c r="J40" s="7">
        <v>44.34</v>
      </c>
      <c r="K40" s="7">
        <v>88.3</v>
      </c>
      <c r="L40" s="13">
        <f t="shared" si="5"/>
        <v>49.239215686274498</v>
      </c>
      <c r="M40" s="7">
        <v>12.57</v>
      </c>
      <c r="N40" s="7">
        <v>8.43</v>
      </c>
      <c r="O40" s="13">
        <f t="shared" si="2"/>
        <v>57.35</v>
      </c>
      <c r="P40" s="7">
        <v>8.86</v>
      </c>
      <c r="Q40" s="12">
        <v>36753.519999999997</v>
      </c>
      <c r="R40" s="11">
        <v>4.2052670000000001</v>
      </c>
      <c r="S40" s="13">
        <f t="shared" si="3"/>
        <v>53.310296094276097</v>
      </c>
      <c r="T40" s="17">
        <f t="shared" si="4"/>
        <v>60.274267090471049</v>
      </c>
    </row>
    <row r="41" spans="1:20" ht="16.5" thickBot="1" x14ac:dyDescent="0.3">
      <c r="A41" s="6" t="s">
        <v>26</v>
      </c>
      <c r="B41" s="2">
        <v>2016</v>
      </c>
      <c r="C41" s="7">
        <v>9424</v>
      </c>
      <c r="D41" s="7">
        <v>17</v>
      </c>
      <c r="E41" s="14">
        <f t="shared" si="0"/>
        <v>82.157314629258522</v>
      </c>
      <c r="F41" s="7">
        <v>70.709999999999994</v>
      </c>
      <c r="G41" s="7">
        <v>4.66</v>
      </c>
      <c r="H41" s="13">
        <f t="shared" si="1"/>
        <v>64.183333333333323</v>
      </c>
      <c r="I41" s="7">
        <v>1.8</v>
      </c>
      <c r="J41" s="7">
        <v>46.65</v>
      </c>
      <c r="K41" s="7">
        <v>90.42</v>
      </c>
      <c r="L41" s="13">
        <f t="shared" si="5"/>
        <v>51.35843137254902</v>
      </c>
      <c r="M41" s="7">
        <v>12.72</v>
      </c>
      <c r="N41" s="7">
        <v>8.5500000000000007</v>
      </c>
      <c r="O41" s="13">
        <f t="shared" si="2"/>
        <v>58.957142857142863</v>
      </c>
      <c r="P41" s="7">
        <v>8.41</v>
      </c>
      <c r="Q41" s="12">
        <v>37728.800000000003</v>
      </c>
      <c r="R41" s="11">
        <v>4.3696770000000003</v>
      </c>
      <c r="S41" s="13">
        <f t="shared" si="3"/>
        <v>53.754698185362393</v>
      </c>
      <c r="T41" s="17">
        <f t="shared" si="4"/>
        <v>61.196505341507283</v>
      </c>
    </row>
    <row r="42" spans="1:20" ht="16.5" thickBot="1" x14ac:dyDescent="0.3">
      <c r="A42" s="6" t="s">
        <v>26</v>
      </c>
      <c r="B42" s="2">
        <v>2017</v>
      </c>
      <c r="C42" s="7">
        <v>9531</v>
      </c>
      <c r="D42" s="7">
        <v>22</v>
      </c>
      <c r="E42" s="14">
        <f t="shared" si="0"/>
        <v>79.550100200400806</v>
      </c>
      <c r="F42" s="7">
        <v>70.760000000000005</v>
      </c>
      <c r="G42" s="7">
        <v>4.62</v>
      </c>
      <c r="H42" s="13">
        <f t="shared" si="1"/>
        <v>64.488888888888894</v>
      </c>
      <c r="I42" s="7">
        <v>1.78</v>
      </c>
      <c r="J42" s="7">
        <v>53.54</v>
      </c>
      <c r="K42" s="7">
        <v>90.29</v>
      </c>
      <c r="L42" s="13">
        <f t="shared" si="5"/>
        <v>53.840392156862748</v>
      </c>
      <c r="M42" s="7">
        <v>12.87</v>
      </c>
      <c r="N42" s="7">
        <v>8.61</v>
      </c>
      <c r="O42" s="13">
        <f t="shared" si="2"/>
        <v>60.135714285714279</v>
      </c>
      <c r="P42" s="7">
        <v>8.19</v>
      </c>
      <c r="Q42" s="12">
        <v>38833.870000000003</v>
      </c>
      <c r="R42" s="11">
        <v>4.5981059999999996</v>
      </c>
      <c r="S42" s="13">
        <f t="shared" si="3"/>
        <v>54.191850855927704</v>
      </c>
      <c r="T42" s="17">
        <f t="shared" si="4"/>
        <v>61.781729200787254</v>
      </c>
    </row>
    <row r="43" spans="1:20" ht="16.5" thickBot="1" x14ac:dyDescent="0.3">
      <c r="A43" s="6" t="s">
        <v>26</v>
      </c>
      <c r="B43" s="2">
        <v>2018</v>
      </c>
      <c r="C43" s="7">
        <v>6313</v>
      </c>
      <c r="D43" s="7">
        <v>26</v>
      </c>
      <c r="E43" s="14">
        <f t="shared" si="0"/>
        <v>80.774549098196388</v>
      </c>
      <c r="F43" s="7">
        <v>70.89</v>
      </c>
      <c r="G43" s="7">
        <v>4.66</v>
      </c>
      <c r="H43" s="13">
        <f t="shared" si="1"/>
        <v>64.483333333333334</v>
      </c>
      <c r="I43" s="7">
        <v>1.75</v>
      </c>
      <c r="J43" s="7">
        <v>62.67</v>
      </c>
      <c r="K43" s="7">
        <v>88.44</v>
      </c>
      <c r="L43" s="13">
        <f t="shared" si="5"/>
        <v>55.987450980392154</v>
      </c>
      <c r="M43" s="7">
        <v>12.9</v>
      </c>
      <c r="N43" s="7">
        <v>8.6999999999999993</v>
      </c>
      <c r="O43" s="13">
        <f t="shared" si="2"/>
        <v>60.928571428571423</v>
      </c>
      <c r="P43" s="7">
        <v>7.92</v>
      </c>
      <c r="Q43" s="12">
        <v>40025.519999999997</v>
      </c>
      <c r="R43" s="11">
        <v>4.6887980000000002</v>
      </c>
      <c r="S43" s="13">
        <f t="shared" si="3"/>
        <v>54.559000609604823</v>
      </c>
      <c r="T43" s="17">
        <f t="shared" si="4"/>
        <v>62.704689806117344</v>
      </c>
    </row>
    <row r="44" spans="1:20" ht="16.5" thickBot="1" x14ac:dyDescent="0.3">
      <c r="A44" s="6" t="s">
        <v>26</v>
      </c>
      <c r="B44" s="2">
        <v>2019</v>
      </c>
      <c r="C44" s="7">
        <v>6848</v>
      </c>
      <c r="D44" s="7">
        <v>24</v>
      </c>
      <c r="E44" s="14">
        <f t="shared" si="0"/>
        <v>81.238476953907821</v>
      </c>
      <c r="F44" s="7">
        <v>71.040000000000006</v>
      </c>
      <c r="G44" s="7">
        <v>4.57</v>
      </c>
      <c r="H44" s="13">
        <f t="shared" si="1"/>
        <v>65.233333333333348</v>
      </c>
      <c r="I44" s="7">
        <v>1.72</v>
      </c>
      <c r="J44" s="7">
        <v>64.87</v>
      </c>
      <c r="K44" s="7">
        <v>90.32</v>
      </c>
      <c r="L44" s="13">
        <f t="shared" si="5"/>
        <v>57.903529411764701</v>
      </c>
      <c r="M44" s="7">
        <v>12.93</v>
      </c>
      <c r="N44" s="7">
        <v>8.86</v>
      </c>
      <c r="O44" s="13">
        <f t="shared" si="2"/>
        <v>62.221428571428561</v>
      </c>
      <c r="P44" s="7">
        <v>7.6</v>
      </c>
      <c r="Q44" s="12">
        <v>41812.35</v>
      </c>
      <c r="R44" s="11">
        <v>4.3670419999999996</v>
      </c>
      <c r="S44" s="13">
        <f t="shared" si="3"/>
        <v>54.741885886939571</v>
      </c>
      <c r="T44" s="17">
        <f t="shared" si="4"/>
        <v>63.655982050224672</v>
      </c>
    </row>
    <row r="45" spans="1:20" ht="16.5" thickBot="1" x14ac:dyDescent="0.3">
      <c r="A45" s="6" t="s">
        <v>26</v>
      </c>
      <c r="B45" s="2">
        <v>2020</v>
      </c>
      <c r="C45" s="7">
        <v>4709</v>
      </c>
      <c r="D45" s="7">
        <v>44</v>
      </c>
      <c r="E45" s="14">
        <f t="shared" si="0"/>
        <v>73.381763527054105</v>
      </c>
      <c r="F45" s="7">
        <v>71.17</v>
      </c>
      <c r="G45" s="7">
        <v>4.4800000000000004</v>
      </c>
      <c r="H45" s="13">
        <f t="shared" si="1"/>
        <v>65.95</v>
      </c>
      <c r="I45" s="7">
        <v>1.34</v>
      </c>
      <c r="J45" s="7">
        <v>65.22</v>
      </c>
      <c r="K45" s="7">
        <v>93.37</v>
      </c>
      <c r="L45" s="13">
        <f t="shared" si="5"/>
        <v>57.540784313725489</v>
      </c>
      <c r="M45" s="7">
        <v>12.98</v>
      </c>
      <c r="N45" s="7">
        <v>8.9700000000000006</v>
      </c>
      <c r="O45" s="13">
        <f t="shared" si="2"/>
        <v>63.257142857142867</v>
      </c>
      <c r="P45" s="7">
        <v>7.58</v>
      </c>
      <c r="Q45" s="12">
        <v>41952.77</v>
      </c>
      <c r="R45" s="11">
        <v>-0.44</v>
      </c>
      <c r="S45" s="13">
        <f t="shared" si="3"/>
        <v>51.212483129541027</v>
      </c>
      <c r="T45" s="17">
        <f t="shared" si="4"/>
        <v>61.809157736527361</v>
      </c>
    </row>
    <row r="46" spans="1:20" ht="16.5" thickBot="1" x14ac:dyDescent="0.3">
      <c r="A46" s="6" t="s">
        <v>27</v>
      </c>
      <c r="B46" s="2">
        <v>2015</v>
      </c>
      <c r="C46" s="7">
        <v>27805</v>
      </c>
      <c r="D46" s="7">
        <v>6</v>
      </c>
      <c r="E46" s="14">
        <f t="shared" si="0"/>
        <v>69.239478957915821</v>
      </c>
      <c r="F46" s="7">
        <v>72.41</v>
      </c>
      <c r="G46" s="7">
        <v>4.01</v>
      </c>
      <c r="H46" s="13">
        <f t="shared" si="1"/>
        <v>70.62777777777778</v>
      </c>
      <c r="I46" s="7">
        <v>1.56</v>
      </c>
      <c r="J46" s="7">
        <v>44.54</v>
      </c>
      <c r="K46" s="7">
        <v>89.18</v>
      </c>
      <c r="L46" s="13">
        <f t="shared" si="5"/>
        <v>48.104313725490208</v>
      </c>
      <c r="M46" s="7">
        <v>12.15</v>
      </c>
      <c r="N46" s="7">
        <v>8.31</v>
      </c>
      <c r="O46" s="13">
        <f t="shared" si="2"/>
        <v>54.392857142857146</v>
      </c>
      <c r="P46" s="7">
        <v>9.5299999999999994</v>
      </c>
      <c r="Q46" s="12">
        <v>25845.5</v>
      </c>
      <c r="R46" s="11">
        <v>5.0483349999999998</v>
      </c>
      <c r="S46" s="13">
        <f t="shared" si="3"/>
        <v>51.795513964203444</v>
      </c>
      <c r="T46" s="17">
        <f t="shared" si="4"/>
        <v>58.11248873613193</v>
      </c>
    </row>
    <row r="47" spans="1:20" ht="16.5" thickBot="1" x14ac:dyDescent="0.3">
      <c r="A47" s="6" t="s">
        <v>27</v>
      </c>
      <c r="B47" s="2">
        <v>2016</v>
      </c>
      <c r="C47" s="7">
        <v>29351</v>
      </c>
      <c r="D47" s="7">
        <v>14</v>
      </c>
      <c r="E47" s="14">
        <f t="shared" si="0"/>
        <v>63.690380761523045</v>
      </c>
      <c r="F47" s="7">
        <v>72.44</v>
      </c>
      <c r="G47" s="7">
        <v>4.4000000000000004</v>
      </c>
      <c r="H47" s="13">
        <f t="shared" si="1"/>
        <v>68.511111111111106</v>
      </c>
      <c r="I47" s="7">
        <v>1.54</v>
      </c>
      <c r="J47" s="7">
        <v>41.17</v>
      </c>
      <c r="K47" s="7">
        <v>89.02</v>
      </c>
      <c r="L47" s="13">
        <f t="shared" si="5"/>
        <v>46.542745098039219</v>
      </c>
      <c r="M47" s="7">
        <v>12.3</v>
      </c>
      <c r="N47" s="7">
        <v>8.41</v>
      </c>
      <c r="O47" s="13">
        <f t="shared" si="2"/>
        <v>55.857142857142861</v>
      </c>
      <c r="P47" s="7">
        <v>8.9499999999999993</v>
      </c>
      <c r="Q47" s="12">
        <v>26923.51</v>
      </c>
      <c r="R47" s="11">
        <v>5.6647670000000003</v>
      </c>
      <c r="S47" s="13">
        <f t="shared" si="3"/>
        <v>52.636541017189444</v>
      </c>
      <c r="T47" s="17">
        <f t="shared" si="4"/>
        <v>56.912882486568122</v>
      </c>
    </row>
    <row r="48" spans="1:20" ht="16.5" thickBot="1" x14ac:dyDescent="0.3">
      <c r="A48" s="6" t="s">
        <v>27</v>
      </c>
      <c r="B48" s="2">
        <v>2017</v>
      </c>
      <c r="C48" s="7">
        <v>25183</v>
      </c>
      <c r="D48" s="7">
        <v>50</v>
      </c>
      <c r="E48" s="14">
        <f t="shared" si="0"/>
        <v>49.866733466933866</v>
      </c>
      <c r="F48" s="7">
        <v>72.47</v>
      </c>
      <c r="G48" s="7">
        <v>5.12</v>
      </c>
      <c r="H48" s="13">
        <f t="shared" si="1"/>
        <v>64.561111111111117</v>
      </c>
      <c r="I48" s="7">
        <v>1.52</v>
      </c>
      <c r="J48" s="7">
        <v>56.61</v>
      </c>
      <c r="K48" s="7">
        <v>90.68</v>
      </c>
      <c r="L48" s="13">
        <f t="shared" si="5"/>
        <v>53.570980392156862</v>
      </c>
      <c r="M48" s="7">
        <v>12.42</v>
      </c>
      <c r="N48" s="7">
        <v>8.4600000000000009</v>
      </c>
      <c r="O48" s="13">
        <f t="shared" si="2"/>
        <v>56.814285714285717</v>
      </c>
      <c r="P48" s="7">
        <v>8.7100000000000009</v>
      </c>
      <c r="Q48" s="12">
        <v>27970.92</v>
      </c>
      <c r="R48" s="11">
        <v>5.3341070000000004</v>
      </c>
      <c r="S48" s="13">
        <f t="shared" si="3"/>
        <v>52.656171905015071</v>
      </c>
      <c r="T48" s="17">
        <f t="shared" si="4"/>
        <v>55.274353153243744</v>
      </c>
    </row>
    <row r="49" spans="1:20" ht="16.5" thickBot="1" x14ac:dyDescent="0.3">
      <c r="A49" s="6" t="s">
        <v>27</v>
      </c>
      <c r="B49" s="2">
        <v>2018</v>
      </c>
      <c r="C49" s="7">
        <v>16209</v>
      </c>
      <c r="D49" s="7">
        <v>42</v>
      </c>
      <c r="E49" s="14">
        <f t="shared" si="0"/>
        <v>62.858717434869746</v>
      </c>
      <c r="F49" s="7">
        <v>72.66</v>
      </c>
      <c r="G49" s="7">
        <v>4.6900000000000004</v>
      </c>
      <c r="H49" s="13">
        <f t="shared" si="1"/>
        <v>67.266666666666652</v>
      </c>
      <c r="I49" s="7">
        <v>1.5</v>
      </c>
      <c r="J49" s="7">
        <v>44.67</v>
      </c>
      <c r="K49" s="7">
        <v>93.1</v>
      </c>
      <c r="L49" s="13">
        <f t="shared" si="5"/>
        <v>50.368627450980384</v>
      </c>
      <c r="M49" s="7">
        <v>12.45</v>
      </c>
      <c r="N49" s="7">
        <v>8.61</v>
      </c>
      <c r="O49" s="13">
        <f t="shared" si="2"/>
        <v>58.035714285714278</v>
      </c>
      <c r="P49" s="7">
        <v>7.45</v>
      </c>
      <c r="Q49" s="12">
        <v>29160.06</v>
      </c>
      <c r="R49" s="11">
        <v>5.6533559999999996</v>
      </c>
      <c r="S49" s="13">
        <f t="shared" si="3"/>
        <v>53.525516122629803</v>
      </c>
      <c r="T49" s="17">
        <f t="shared" si="4"/>
        <v>58.092002496584769</v>
      </c>
    </row>
    <row r="50" spans="1:20" ht="16.5" thickBot="1" x14ac:dyDescent="0.3">
      <c r="A50" s="6" t="s">
        <v>27</v>
      </c>
      <c r="B50" s="2">
        <v>2019</v>
      </c>
      <c r="C50" s="7">
        <v>13145</v>
      </c>
      <c r="D50" s="7">
        <v>46</v>
      </c>
      <c r="E50" s="14">
        <f t="shared" si="0"/>
        <v>63.928857715430865</v>
      </c>
      <c r="F50" s="7">
        <v>72.92</v>
      </c>
      <c r="G50" s="7">
        <v>5.38</v>
      </c>
      <c r="H50" s="13">
        <f t="shared" si="1"/>
        <v>63.866666666666674</v>
      </c>
      <c r="I50" s="7">
        <v>1.48</v>
      </c>
      <c r="J50" s="7">
        <v>71.11</v>
      </c>
      <c r="K50" s="7">
        <v>92.76</v>
      </c>
      <c r="L50" s="13">
        <f t="shared" si="5"/>
        <v>60.377254901960789</v>
      </c>
      <c r="M50" s="7">
        <v>12.48</v>
      </c>
      <c r="N50" s="7">
        <v>8.7899999999999991</v>
      </c>
      <c r="O50" s="13">
        <f t="shared" si="2"/>
        <v>59.471428571428561</v>
      </c>
      <c r="P50" s="7">
        <v>6.91</v>
      </c>
      <c r="Q50" s="12">
        <v>30413.37</v>
      </c>
      <c r="R50" s="11">
        <v>5.0683699999999998</v>
      </c>
      <c r="S50" s="13">
        <f t="shared" si="3"/>
        <v>53.49389028885345</v>
      </c>
      <c r="T50" s="17">
        <f t="shared" si="4"/>
        <v>60.102345723635622</v>
      </c>
    </row>
    <row r="51" spans="1:20" ht="16.5" thickBot="1" x14ac:dyDescent="0.3">
      <c r="A51" s="6" t="s">
        <v>27</v>
      </c>
      <c r="B51" s="2">
        <v>2020</v>
      </c>
      <c r="C51" s="7">
        <v>11256</v>
      </c>
      <c r="D51" s="7">
        <v>49</v>
      </c>
      <c r="E51" s="14">
        <f t="shared" si="0"/>
        <v>64.321643286573149</v>
      </c>
      <c r="F51" s="7">
        <v>73.150000000000006</v>
      </c>
      <c r="G51" s="7">
        <v>5.87</v>
      </c>
      <c r="H51" s="13">
        <f t="shared" si="1"/>
        <v>61.527777777777779</v>
      </c>
      <c r="I51" s="7">
        <v>1.1100000000000001</v>
      </c>
      <c r="J51" s="7">
        <v>76.11</v>
      </c>
      <c r="K51" s="7">
        <v>93</v>
      </c>
      <c r="L51" s="13">
        <f t="shared" si="5"/>
        <v>60.031372549019615</v>
      </c>
      <c r="M51" s="7">
        <v>12.5</v>
      </c>
      <c r="N51" s="7">
        <v>8.9600000000000009</v>
      </c>
      <c r="O51" s="13">
        <f t="shared" si="2"/>
        <v>60.785714285714285</v>
      </c>
      <c r="P51" s="7">
        <v>7.88</v>
      </c>
      <c r="Q51" s="12">
        <v>30180.54</v>
      </c>
      <c r="R51" s="11">
        <v>-2.52</v>
      </c>
      <c r="S51" s="13">
        <f t="shared" si="3"/>
        <v>47.50542877901826</v>
      </c>
      <c r="T51" s="17">
        <f t="shared" si="4"/>
        <v>58.515413749129856</v>
      </c>
    </row>
    <row r="52" spans="1:20" ht="16.5" thickBot="1" x14ac:dyDescent="0.3">
      <c r="A52" s="6" t="s">
        <v>28</v>
      </c>
      <c r="B52" s="2">
        <v>2015</v>
      </c>
      <c r="C52" s="7">
        <v>15958</v>
      </c>
      <c r="D52" s="7">
        <v>3</v>
      </c>
      <c r="E52" s="14">
        <f t="shared" si="0"/>
        <v>82.610220440881761</v>
      </c>
      <c r="F52" s="7">
        <v>73.959999999999994</v>
      </c>
      <c r="G52" s="7">
        <v>4.71</v>
      </c>
      <c r="H52" s="13">
        <f t="shared" si="1"/>
        <v>69.322222222222209</v>
      </c>
      <c r="I52" s="7">
        <v>0.81</v>
      </c>
      <c r="J52" s="7">
        <v>52.44</v>
      </c>
      <c r="K52" s="7">
        <v>98.93</v>
      </c>
      <c r="L52" s="13">
        <f t="shared" si="5"/>
        <v>52.702352941176478</v>
      </c>
      <c r="M52" s="7">
        <v>12.38</v>
      </c>
      <c r="N52" s="7">
        <v>7.57</v>
      </c>
      <c r="O52" s="13">
        <f t="shared" si="2"/>
        <v>50.257142857142867</v>
      </c>
      <c r="P52" s="7">
        <v>13.58</v>
      </c>
      <c r="Q52" s="12">
        <v>23887.06</v>
      </c>
      <c r="R52" s="11">
        <v>5.4651209999999999</v>
      </c>
      <c r="S52" s="13">
        <f t="shared" si="3"/>
        <v>50.397022006025161</v>
      </c>
      <c r="T52" s="17">
        <f t="shared" si="4"/>
        <v>59.79540150670023</v>
      </c>
    </row>
    <row r="53" spans="1:20" ht="16.5" thickBot="1" x14ac:dyDescent="0.3">
      <c r="A53" s="6" t="s">
        <v>28</v>
      </c>
      <c r="B53" s="2">
        <v>2016</v>
      </c>
      <c r="C53" s="7">
        <v>14353</v>
      </c>
      <c r="D53" s="7">
        <v>31</v>
      </c>
      <c r="E53" s="14">
        <f t="shared" si="0"/>
        <v>70.218436873747493</v>
      </c>
      <c r="F53" s="7">
        <v>74.02</v>
      </c>
      <c r="G53" s="7">
        <v>4.4400000000000004</v>
      </c>
      <c r="H53" s="13">
        <f t="shared" si="1"/>
        <v>70.922222222222217</v>
      </c>
      <c r="I53" s="7">
        <v>0.79</v>
      </c>
      <c r="J53" s="7">
        <v>62.61</v>
      </c>
      <c r="K53" s="7">
        <v>98.87</v>
      </c>
      <c r="L53" s="13">
        <f t="shared" si="5"/>
        <v>56.51725490196079</v>
      </c>
      <c r="M53" s="7">
        <v>12.45</v>
      </c>
      <c r="N53" s="7">
        <v>7.7</v>
      </c>
      <c r="O53" s="13">
        <f t="shared" si="2"/>
        <v>51.535714285714285</v>
      </c>
      <c r="P53" s="7">
        <v>13.27</v>
      </c>
      <c r="Q53" s="12">
        <v>24959.49</v>
      </c>
      <c r="R53" s="11">
        <v>5.2474090000000002</v>
      </c>
      <c r="S53" s="13">
        <f t="shared" si="3"/>
        <v>50.528276576289208</v>
      </c>
      <c r="T53" s="17">
        <f t="shared" si="4"/>
        <v>59.294098086318421</v>
      </c>
    </row>
    <row r="54" spans="1:20" ht="16.5" thickBot="1" x14ac:dyDescent="0.3">
      <c r="A54" s="6" t="s">
        <v>28</v>
      </c>
      <c r="B54" s="2">
        <v>2017</v>
      </c>
      <c r="C54" s="7">
        <v>12033</v>
      </c>
      <c r="D54" s="7">
        <v>28</v>
      </c>
      <c r="E54" s="14">
        <f t="shared" si="0"/>
        <v>74.043086172344687</v>
      </c>
      <c r="F54" s="7">
        <v>74.08</v>
      </c>
      <c r="G54" s="7">
        <v>5.26</v>
      </c>
      <c r="H54" s="13">
        <f t="shared" si="1"/>
        <v>66.466666666666669</v>
      </c>
      <c r="I54" s="7">
        <v>0.78</v>
      </c>
      <c r="J54" s="7">
        <v>68.180000000000007</v>
      </c>
      <c r="K54" s="7">
        <v>98.97</v>
      </c>
      <c r="L54" s="13">
        <f t="shared" si="5"/>
        <v>58.701568627450982</v>
      </c>
      <c r="M54" s="7">
        <v>12.57</v>
      </c>
      <c r="N54" s="7">
        <v>7.77</v>
      </c>
      <c r="O54" s="13">
        <f t="shared" si="2"/>
        <v>52.635714285714286</v>
      </c>
      <c r="P54" s="7">
        <v>13.01</v>
      </c>
      <c r="Q54" s="12">
        <v>26088.91</v>
      </c>
      <c r="R54" s="11">
        <v>5.2586250000000003</v>
      </c>
      <c r="S54" s="13">
        <f t="shared" si="3"/>
        <v>50.82227067162858</v>
      </c>
      <c r="T54" s="17">
        <f t="shared" si="4"/>
        <v>59.925896623461291</v>
      </c>
    </row>
    <row r="55" spans="1:20" ht="16.5" thickBot="1" x14ac:dyDescent="0.3">
      <c r="A55" s="6" t="s">
        <v>28</v>
      </c>
      <c r="B55" s="2">
        <v>2018</v>
      </c>
      <c r="C55" s="7">
        <v>9127</v>
      </c>
      <c r="D55" s="7">
        <v>21</v>
      </c>
      <c r="E55" s="14">
        <f t="shared" si="0"/>
        <v>80.454909819639269</v>
      </c>
      <c r="F55" s="7">
        <v>74.180000000000007</v>
      </c>
      <c r="G55" s="7">
        <v>4.84</v>
      </c>
      <c r="H55" s="13">
        <f t="shared" si="1"/>
        <v>68.966666666666683</v>
      </c>
      <c r="I55" s="7">
        <v>0.77</v>
      </c>
      <c r="J55" s="7">
        <v>50.56</v>
      </c>
      <c r="K55" s="7">
        <v>99.48</v>
      </c>
      <c r="L55" s="13">
        <f t="shared" si="5"/>
        <v>52.065098039215698</v>
      </c>
      <c r="M55" s="7">
        <v>12.63</v>
      </c>
      <c r="N55" s="7">
        <v>7.84</v>
      </c>
      <c r="O55" s="13">
        <f t="shared" si="2"/>
        <v>53.435714285714283</v>
      </c>
      <c r="P55" s="7">
        <v>11.32</v>
      </c>
      <c r="Q55" s="12">
        <v>27285.25</v>
      </c>
      <c r="R55" s="11">
        <v>5.296875</v>
      </c>
      <c r="S55" s="13">
        <f t="shared" si="3"/>
        <v>51.629511784511784</v>
      </c>
      <c r="T55" s="17">
        <f t="shared" si="4"/>
        <v>60.296710984132702</v>
      </c>
    </row>
    <row r="56" spans="1:20" ht="16.5" thickBot="1" x14ac:dyDescent="0.3">
      <c r="A56" s="6" t="s">
        <v>28</v>
      </c>
      <c r="B56" s="2">
        <v>2019</v>
      </c>
      <c r="C56" s="7">
        <v>10317</v>
      </c>
      <c r="D56" s="7">
        <v>20</v>
      </c>
      <c r="E56" s="14">
        <f t="shared" si="0"/>
        <v>79.762525050100194</v>
      </c>
      <c r="F56" s="7">
        <v>74.245000000000005</v>
      </c>
      <c r="G56" s="7">
        <v>5.0999999999999996</v>
      </c>
      <c r="H56" s="13">
        <f t="shared" si="1"/>
        <v>67.630555555555574</v>
      </c>
      <c r="I56" s="7">
        <v>0.76</v>
      </c>
      <c r="J56" s="7">
        <v>72</v>
      </c>
      <c r="K56" s="7">
        <v>99.64</v>
      </c>
      <c r="L56" s="13">
        <f t="shared" si="5"/>
        <v>60.512941176470584</v>
      </c>
      <c r="M56" s="7">
        <v>12.68</v>
      </c>
      <c r="N56" s="7">
        <v>8.0299999999999994</v>
      </c>
      <c r="O56" s="13">
        <f t="shared" si="2"/>
        <v>55.042857142857137</v>
      </c>
      <c r="P56" s="7">
        <v>10.8</v>
      </c>
      <c r="Q56" s="12">
        <v>28695.919999999998</v>
      </c>
      <c r="R56" s="11">
        <v>5.4003249999999996</v>
      </c>
      <c r="S56" s="13">
        <f t="shared" si="3"/>
        <v>52.128711554137872</v>
      </c>
      <c r="T56" s="17">
        <f t="shared" si="4"/>
        <v>62.274982496233129</v>
      </c>
    </row>
    <row r="57" spans="1:20" ht="16.5" thickBot="1" x14ac:dyDescent="0.3">
      <c r="A57" s="6" t="s">
        <v>28</v>
      </c>
      <c r="B57" s="2">
        <v>2020</v>
      </c>
      <c r="C57" s="7">
        <v>10712</v>
      </c>
      <c r="D57" s="7">
        <v>21</v>
      </c>
      <c r="E57" s="14">
        <f t="shared" si="0"/>
        <v>78.866733466933866</v>
      </c>
      <c r="F57" s="7">
        <v>74.405000000000001</v>
      </c>
      <c r="G57" s="7">
        <v>5.83</v>
      </c>
      <c r="H57" s="13">
        <f t="shared" si="1"/>
        <v>63.841666666666661</v>
      </c>
      <c r="I57" s="7">
        <v>1.17</v>
      </c>
      <c r="J57" s="7">
        <v>76.3</v>
      </c>
      <c r="K57" s="7">
        <v>99.74</v>
      </c>
      <c r="L57" s="13">
        <f t="shared" si="5"/>
        <v>64.999215686274496</v>
      </c>
      <c r="M57" s="7">
        <v>12.7</v>
      </c>
      <c r="N57" s="7">
        <v>8.19</v>
      </c>
      <c r="O57" s="13">
        <f t="shared" si="2"/>
        <v>56.28571428571427</v>
      </c>
      <c r="P57" s="7">
        <v>11.41</v>
      </c>
      <c r="Q57" s="12">
        <v>26483.64</v>
      </c>
      <c r="R57" s="11">
        <v>-2.65</v>
      </c>
      <c r="S57" s="13">
        <f t="shared" si="3"/>
        <v>45.572001346801351</v>
      </c>
      <c r="T57" s="17">
        <f t="shared" si="4"/>
        <v>60.925695257480506</v>
      </c>
    </row>
    <row r="58" spans="1:20" ht="16.5" thickBot="1" x14ac:dyDescent="0.3">
      <c r="A58" s="6" t="s">
        <v>29</v>
      </c>
      <c r="B58" s="2">
        <v>2015</v>
      </c>
      <c r="C58" s="7">
        <v>35437</v>
      </c>
      <c r="D58" s="7">
        <v>95</v>
      </c>
      <c r="E58" s="14">
        <f t="shared" si="0"/>
        <v>17.092184368737477</v>
      </c>
      <c r="F58" s="7">
        <v>70.680000000000007</v>
      </c>
      <c r="G58" s="7">
        <v>5.24</v>
      </c>
      <c r="H58" s="13">
        <f t="shared" si="1"/>
        <v>60.911111111111119</v>
      </c>
      <c r="I58" s="7">
        <v>0.67</v>
      </c>
      <c r="J58" s="7">
        <v>44.37</v>
      </c>
      <c r="K58" s="7">
        <v>96.27</v>
      </c>
      <c r="L58" s="13">
        <f t="shared" si="5"/>
        <v>46.83098039215686</v>
      </c>
      <c r="M58" s="7">
        <v>12.66</v>
      </c>
      <c r="N58" s="7">
        <v>7.71</v>
      </c>
      <c r="O58" s="13">
        <f t="shared" si="2"/>
        <v>52.657142857142858</v>
      </c>
      <c r="P58" s="7">
        <v>12.34</v>
      </c>
      <c r="Q58" s="12">
        <v>34271.81</v>
      </c>
      <c r="R58" s="11">
        <v>5.440124</v>
      </c>
      <c r="S58" s="13">
        <f t="shared" si="3"/>
        <v>52.617900092149569</v>
      </c>
      <c r="T58" s="17">
        <f t="shared" si="4"/>
        <v>42.278895053394557</v>
      </c>
    </row>
    <row r="59" spans="1:20" ht="16.5" thickBot="1" x14ac:dyDescent="0.3">
      <c r="A59" s="6" t="s">
        <v>29</v>
      </c>
      <c r="B59" s="2">
        <v>2016</v>
      </c>
      <c r="C59" s="7">
        <v>28902</v>
      </c>
      <c r="D59" s="7">
        <v>47</v>
      </c>
      <c r="E59" s="14">
        <f t="shared" si="0"/>
        <v>47.640280561122246</v>
      </c>
      <c r="F59" s="7">
        <v>70.739999999999995</v>
      </c>
      <c r="G59" s="7">
        <v>4.1100000000000003</v>
      </c>
      <c r="H59" s="13">
        <f t="shared" si="1"/>
        <v>67.288888888888877</v>
      </c>
      <c r="I59" s="7">
        <v>0.66</v>
      </c>
      <c r="J59" s="7">
        <v>50.51</v>
      </c>
      <c r="K59" s="7">
        <v>97.04</v>
      </c>
      <c r="L59" s="13">
        <f t="shared" si="5"/>
        <v>49.685490196078433</v>
      </c>
      <c r="M59" s="7">
        <v>12.98</v>
      </c>
      <c r="N59" s="7">
        <v>7.78</v>
      </c>
      <c r="O59" s="13">
        <f t="shared" si="2"/>
        <v>54.75714285714286</v>
      </c>
      <c r="P59" s="7">
        <v>12.05</v>
      </c>
      <c r="Q59" s="12">
        <v>35970.78</v>
      </c>
      <c r="R59" s="11">
        <v>5.572235</v>
      </c>
      <c r="S59" s="13">
        <f t="shared" si="3"/>
        <v>53.111468102073367</v>
      </c>
      <c r="T59" s="17">
        <f t="shared" si="4"/>
        <v>54.094768479466502</v>
      </c>
    </row>
    <row r="60" spans="1:20" ht="16.5" thickBot="1" x14ac:dyDescent="0.3">
      <c r="A60" s="6" t="s">
        <v>29</v>
      </c>
      <c r="B60" s="2">
        <v>2017</v>
      </c>
      <c r="C60" s="7">
        <v>34598</v>
      </c>
      <c r="D60" s="7">
        <v>67</v>
      </c>
      <c r="E60" s="14">
        <f t="shared" si="0"/>
        <v>31.932865731462922</v>
      </c>
      <c r="F60" s="7">
        <v>70.8</v>
      </c>
      <c r="G60" s="7">
        <v>5.75</v>
      </c>
      <c r="H60" s="13">
        <f t="shared" si="1"/>
        <v>58.277777777777771</v>
      </c>
      <c r="I60" s="7">
        <v>0.64</v>
      </c>
      <c r="J60" s="7">
        <v>51.77</v>
      </c>
      <c r="K60" s="7">
        <v>97.3</v>
      </c>
      <c r="L60" s="13">
        <f t="shared" si="5"/>
        <v>50.219607843137247</v>
      </c>
      <c r="M60" s="7">
        <v>13.09</v>
      </c>
      <c r="N60" s="7">
        <v>7.87</v>
      </c>
      <c r="O60" s="13">
        <f t="shared" si="2"/>
        <v>55.95</v>
      </c>
      <c r="P60" s="7">
        <v>11.77</v>
      </c>
      <c r="Q60" s="12">
        <v>37724.29</v>
      </c>
      <c r="R60" s="11">
        <v>5.4594519999999997</v>
      </c>
      <c r="S60" s="13">
        <f t="shared" si="3"/>
        <v>53.429834566719826</v>
      </c>
      <c r="T60" s="17">
        <f t="shared" si="4"/>
        <v>48.892204891574636</v>
      </c>
    </row>
    <row r="61" spans="1:20" ht="16.5" thickBot="1" x14ac:dyDescent="0.3">
      <c r="A61" s="6" t="s">
        <v>29</v>
      </c>
      <c r="B61" s="2">
        <v>2018</v>
      </c>
      <c r="C61" s="7">
        <v>26295</v>
      </c>
      <c r="D61" s="7">
        <v>60</v>
      </c>
      <c r="E61" s="14">
        <f t="shared" si="0"/>
        <v>43.752505010020045</v>
      </c>
      <c r="F61" s="7">
        <v>70.97</v>
      </c>
      <c r="G61" s="7">
        <v>4.74</v>
      </c>
      <c r="H61" s="13">
        <f t="shared" si="1"/>
        <v>64.172222222222217</v>
      </c>
      <c r="I61" s="7">
        <v>0.63</v>
      </c>
      <c r="J61" s="7">
        <v>40.79</v>
      </c>
      <c r="K61" s="7">
        <v>96.82</v>
      </c>
      <c r="L61" s="13">
        <f t="shared" si="5"/>
        <v>45.527058823529408</v>
      </c>
      <c r="M61" s="7">
        <v>13.1</v>
      </c>
      <c r="N61" s="7">
        <v>7.93</v>
      </c>
      <c r="O61" s="13">
        <f t="shared" si="2"/>
        <v>56.428571428571431</v>
      </c>
      <c r="P61" s="7">
        <v>10.98</v>
      </c>
      <c r="Q61" s="12">
        <v>39579.949999999997</v>
      </c>
      <c r="R61" s="11">
        <v>5.4740789999999997</v>
      </c>
      <c r="S61" s="13">
        <f t="shared" si="3"/>
        <v>54.032217033492827</v>
      </c>
      <c r="T61" s="17">
        <f t="shared" si="4"/>
        <v>52.258180906249187</v>
      </c>
    </row>
    <row r="62" spans="1:20" ht="16.5" thickBot="1" x14ac:dyDescent="0.3">
      <c r="A62" s="6" t="s">
        <v>29</v>
      </c>
      <c r="B62" s="2">
        <v>2019</v>
      </c>
      <c r="C62" s="7">
        <v>26985</v>
      </c>
      <c r="D62" s="7">
        <v>61</v>
      </c>
      <c r="E62" s="14">
        <f t="shared" si="0"/>
        <v>42.561122244488978</v>
      </c>
      <c r="F62" s="7">
        <v>71.224999999999994</v>
      </c>
      <c r="G62" s="7">
        <v>5.0999999999999996</v>
      </c>
      <c r="H62" s="13">
        <f t="shared" si="1"/>
        <v>62.597222222222214</v>
      </c>
      <c r="I62" s="7">
        <v>0.62</v>
      </c>
      <c r="J62" s="7">
        <v>68.680000000000007</v>
      </c>
      <c r="K62" s="7">
        <v>98.17</v>
      </c>
      <c r="L62" s="13">
        <f t="shared" si="5"/>
        <v>57.297647058823529</v>
      </c>
      <c r="M62" s="7">
        <v>13.16</v>
      </c>
      <c r="N62" s="7">
        <v>8.11</v>
      </c>
      <c r="O62" s="13">
        <f t="shared" si="2"/>
        <v>58.014285714285705</v>
      </c>
      <c r="P62" s="7">
        <v>10.37</v>
      </c>
      <c r="Q62" s="12">
        <v>41512.199999999997</v>
      </c>
      <c r="R62" s="11">
        <v>5.5215540000000001</v>
      </c>
      <c r="S62" s="13">
        <f t="shared" si="3"/>
        <v>54.611762133616871</v>
      </c>
      <c r="T62" s="17">
        <f t="shared" si="4"/>
        <v>54.563875833694858</v>
      </c>
    </row>
    <row r="63" spans="1:20" ht="16.5" thickBot="1" x14ac:dyDescent="0.3">
      <c r="A63" s="6" t="s">
        <v>29</v>
      </c>
      <c r="B63" s="2">
        <v>2020</v>
      </c>
      <c r="C63" s="7">
        <v>17642</v>
      </c>
      <c r="D63" s="7">
        <v>59</v>
      </c>
      <c r="E63" s="14">
        <f t="shared" si="0"/>
        <v>52.922845691382769</v>
      </c>
      <c r="F63" s="7">
        <v>71.344999999999999</v>
      </c>
      <c r="G63" s="7">
        <v>5.28</v>
      </c>
      <c r="H63" s="13">
        <f t="shared" si="1"/>
        <v>61.797222222222217</v>
      </c>
      <c r="I63" s="7">
        <v>0.79</v>
      </c>
      <c r="J63" s="7">
        <v>66.900000000000006</v>
      </c>
      <c r="K63" s="7">
        <v>98.06</v>
      </c>
      <c r="L63" s="13">
        <f t="shared" si="5"/>
        <v>57.659607843137259</v>
      </c>
      <c r="M63" s="7">
        <v>13.19</v>
      </c>
      <c r="N63" s="7">
        <v>8.31</v>
      </c>
      <c r="O63" s="13">
        <f t="shared" si="2"/>
        <v>59.592857142857149</v>
      </c>
      <c r="P63" s="7">
        <v>11.09</v>
      </c>
      <c r="Q63" s="12">
        <v>39689.019999999997</v>
      </c>
      <c r="R63" s="11">
        <v>-2.33</v>
      </c>
      <c r="S63" s="13">
        <f t="shared" si="3"/>
        <v>48.233515824915827</v>
      </c>
      <c r="T63" s="17">
        <f t="shared" si="4"/>
        <v>55.821999799317041</v>
      </c>
    </row>
    <row r="64" spans="1:20" ht="16.5" thickBot="1" x14ac:dyDescent="0.3">
      <c r="A64" s="6" t="s">
        <v>30</v>
      </c>
      <c r="B64" s="2">
        <v>2015</v>
      </c>
      <c r="C64" s="7">
        <v>6669</v>
      </c>
      <c r="D64" s="7">
        <v>8</v>
      </c>
      <c r="E64" s="14">
        <f t="shared" si="0"/>
        <v>89.417835671342687</v>
      </c>
      <c r="F64" s="7">
        <v>69.87</v>
      </c>
      <c r="G64" s="7">
        <v>4.91</v>
      </c>
      <c r="H64" s="13">
        <f t="shared" si="1"/>
        <v>61.394444444444453</v>
      </c>
      <c r="I64" s="7">
        <v>1.66</v>
      </c>
      <c r="J64" s="7">
        <v>35.32</v>
      </c>
      <c r="K64" s="7">
        <v>81.63</v>
      </c>
      <c r="L64" s="13">
        <f t="shared" si="5"/>
        <v>40.121960784313721</v>
      </c>
      <c r="M64" s="7">
        <v>12.25</v>
      </c>
      <c r="N64" s="7">
        <v>7.41</v>
      </c>
      <c r="O64" s="13">
        <f t="shared" si="2"/>
        <v>48.464285714285715</v>
      </c>
      <c r="P64" s="7">
        <v>8.0299999999999994</v>
      </c>
      <c r="Q64" s="12">
        <v>23456.52</v>
      </c>
      <c r="R64" s="11">
        <v>4.8842850000000002</v>
      </c>
      <c r="S64" s="13">
        <f t="shared" si="3"/>
        <v>51.759926652489817</v>
      </c>
      <c r="T64" s="17">
        <f t="shared" si="4"/>
        <v>56.036392557475992</v>
      </c>
    </row>
    <row r="65" spans="1:20" ht="16.5" thickBot="1" x14ac:dyDescent="0.3">
      <c r="A65" s="6" t="s">
        <v>30</v>
      </c>
      <c r="B65" s="2">
        <v>2016</v>
      </c>
      <c r="C65" s="7">
        <v>7311</v>
      </c>
      <c r="D65" s="7">
        <v>11</v>
      </c>
      <c r="E65" s="14">
        <f t="shared" si="0"/>
        <v>87.274549098196388</v>
      </c>
      <c r="F65" s="7">
        <v>69.900000000000006</v>
      </c>
      <c r="G65" s="7">
        <v>4.74</v>
      </c>
      <c r="H65" s="13">
        <f t="shared" si="1"/>
        <v>62.388888888888893</v>
      </c>
      <c r="I65" s="7">
        <v>1.63</v>
      </c>
      <c r="J65" s="7">
        <v>43.06</v>
      </c>
      <c r="K65" s="7">
        <v>83.23</v>
      </c>
      <c r="L65" s="13">
        <f t="shared" si="5"/>
        <v>44.023921568627451</v>
      </c>
      <c r="M65" s="7">
        <v>12.37</v>
      </c>
      <c r="N65" s="7">
        <v>7.49</v>
      </c>
      <c r="O65" s="13">
        <f t="shared" si="2"/>
        <v>49.635714285714286</v>
      </c>
      <c r="P65" s="7">
        <v>7.87</v>
      </c>
      <c r="Q65" s="12">
        <v>24308.85</v>
      </c>
      <c r="R65" s="11">
        <v>5.1950849999999997</v>
      </c>
      <c r="S65" s="13">
        <f t="shared" si="3"/>
        <v>52.19355250753145</v>
      </c>
      <c r="T65" s="17">
        <f t="shared" si="4"/>
        <v>57.361294663017652</v>
      </c>
    </row>
    <row r="66" spans="1:20" ht="16.5" thickBot="1" x14ac:dyDescent="0.3">
      <c r="A66" s="6" t="s">
        <v>30</v>
      </c>
      <c r="B66" s="2">
        <v>2017</v>
      </c>
      <c r="C66" s="7">
        <v>6020</v>
      </c>
      <c r="D66" s="7">
        <v>19</v>
      </c>
      <c r="E66" s="14">
        <f t="shared" si="0"/>
        <v>84.56813627254509</v>
      </c>
      <c r="F66" s="7">
        <v>69.92</v>
      </c>
      <c r="G66" s="7">
        <v>6.01</v>
      </c>
      <c r="H66" s="13">
        <f t="shared" si="1"/>
        <v>55.366666666666674</v>
      </c>
      <c r="I66" s="7">
        <v>1.61</v>
      </c>
      <c r="J66" s="7">
        <v>46.07</v>
      </c>
      <c r="K66" s="7">
        <v>83.86</v>
      </c>
      <c r="L66" s="13">
        <f t="shared" si="5"/>
        <v>45.490980392156864</v>
      </c>
      <c r="M66" s="7">
        <v>12.5</v>
      </c>
      <c r="N66" s="7">
        <v>7.57</v>
      </c>
      <c r="O66" s="13">
        <f t="shared" si="2"/>
        <v>50.857142857142854</v>
      </c>
      <c r="P66" s="7">
        <v>7.88</v>
      </c>
      <c r="Q66" s="12">
        <v>25198.01</v>
      </c>
      <c r="R66" s="11">
        <v>5.1664669999999999</v>
      </c>
      <c r="S66" s="13">
        <f t="shared" si="3"/>
        <v>52.32497996810207</v>
      </c>
      <c r="T66" s="17">
        <f t="shared" si="4"/>
        <v>56.323325963418803</v>
      </c>
    </row>
    <row r="67" spans="1:20" ht="16.5" thickBot="1" x14ac:dyDescent="0.3">
      <c r="A67" s="6" t="s">
        <v>30</v>
      </c>
      <c r="B67" s="2">
        <v>2018</v>
      </c>
      <c r="C67" s="7">
        <v>5814</v>
      </c>
      <c r="D67" s="7">
        <v>13</v>
      </c>
      <c r="E67" s="14">
        <f t="shared" si="0"/>
        <v>87.774549098196402</v>
      </c>
      <c r="F67" s="7">
        <v>70.180000000000007</v>
      </c>
      <c r="G67" s="7">
        <v>5.72</v>
      </c>
      <c r="H67" s="13">
        <f t="shared" si="1"/>
        <v>57.411111111111126</v>
      </c>
      <c r="I67" s="7">
        <v>1.58</v>
      </c>
      <c r="J67" s="7">
        <v>51.37</v>
      </c>
      <c r="K67" s="7">
        <v>84.59</v>
      </c>
      <c r="L67" s="13">
        <f t="shared" si="5"/>
        <v>47.856078431372559</v>
      </c>
      <c r="M67" s="7">
        <v>12.55</v>
      </c>
      <c r="N67" s="7">
        <v>7.65</v>
      </c>
      <c r="O67" s="13">
        <f t="shared" si="2"/>
        <v>51.678571428571431</v>
      </c>
      <c r="P67" s="7">
        <v>7.77</v>
      </c>
      <c r="Q67" s="12">
        <v>26110.57</v>
      </c>
      <c r="R67" s="11">
        <v>5.0745769999999997</v>
      </c>
      <c r="S67" s="13">
        <f t="shared" si="3"/>
        <v>52.454048584086479</v>
      </c>
      <c r="T67" s="17">
        <f t="shared" si="4"/>
        <v>57.953308721441431</v>
      </c>
    </row>
    <row r="68" spans="1:20" ht="16.5" thickBot="1" x14ac:dyDescent="0.3">
      <c r="A68" s="6" t="s">
        <v>30</v>
      </c>
      <c r="B68" s="2">
        <v>2019</v>
      </c>
      <c r="C68" s="7">
        <v>4721</v>
      </c>
      <c r="D68" s="7">
        <v>9</v>
      </c>
      <c r="E68" s="14">
        <f t="shared" si="0"/>
        <v>90.869739478957911</v>
      </c>
      <c r="F68" s="7">
        <v>70.61</v>
      </c>
      <c r="G68" s="7">
        <v>5.55</v>
      </c>
      <c r="H68" s="13">
        <f t="shared" si="1"/>
        <v>59.072222222222216</v>
      </c>
      <c r="I68" s="7">
        <v>1.56</v>
      </c>
      <c r="J68" s="7">
        <v>59.41</v>
      </c>
      <c r="K68" s="7">
        <v>86.93</v>
      </c>
      <c r="L68" s="13">
        <f t="shared" si="5"/>
        <v>52.435686274509806</v>
      </c>
      <c r="M68" s="7">
        <v>12.58</v>
      </c>
      <c r="N68" s="7">
        <v>7.8</v>
      </c>
      <c r="O68" s="13">
        <f t="shared" si="2"/>
        <v>52.900000000000006</v>
      </c>
      <c r="P68" s="7">
        <v>7.49</v>
      </c>
      <c r="Q68" s="12">
        <v>27199.78</v>
      </c>
      <c r="R68" s="11">
        <v>5.0895539999999997</v>
      </c>
      <c r="S68" s="13">
        <f t="shared" si="3"/>
        <v>52.75050822612085</v>
      </c>
      <c r="T68" s="17">
        <f t="shared" si="4"/>
        <v>60.120470911809676</v>
      </c>
    </row>
    <row r="69" spans="1:20" ht="16.5" thickBot="1" x14ac:dyDescent="0.3">
      <c r="A69" s="6" t="s">
        <v>30</v>
      </c>
      <c r="B69" s="2">
        <v>2020</v>
      </c>
      <c r="C69" s="7">
        <v>3858</v>
      </c>
      <c r="D69" s="7">
        <v>7</v>
      </c>
      <c r="E69" s="14">
        <f t="shared" ref="E69:E132" si="6">((1-((C69-100)/(50000-100)))+(1-((D69-0)/(100-0))))/2*100</f>
        <v>92.734468937875747</v>
      </c>
      <c r="F69" s="7">
        <v>70.734999999999999</v>
      </c>
      <c r="G69" s="7">
        <v>5.93</v>
      </c>
      <c r="H69" s="13">
        <f t="shared" ref="H69:H132" si="7">(((F69-50)/(80-50))+(1-(G69-1)/(10-1)))/2*100</f>
        <v>57.169444444444451</v>
      </c>
      <c r="I69" s="7">
        <v>2.04</v>
      </c>
      <c r="J69" s="7">
        <v>66.42</v>
      </c>
      <c r="K69" s="7">
        <v>87.99</v>
      </c>
      <c r="L69" s="13">
        <f t="shared" si="5"/>
        <v>59.091372549019603</v>
      </c>
      <c r="M69" s="7">
        <v>12.6</v>
      </c>
      <c r="N69" s="7">
        <v>7.9</v>
      </c>
      <c r="O69" s="13">
        <f t="shared" ref="O69:O132" si="8">(((M69-6)/(16-6))+((N69-5)/(12-5)))/2*100</f>
        <v>53.714285714285715</v>
      </c>
      <c r="P69" s="7">
        <v>7.17</v>
      </c>
      <c r="Q69" s="12">
        <v>24953.61</v>
      </c>
      <c r="R69" s="11">
        <v>-1.82</v>
      </c>
      <c r="S69" s="13">
        <f t="shared" ref="S69:S132" si="9">((1-((P69-1)/(100-1)))+((Q69-10000)/(200000-10000))+((R69-(-20))/(25-(-20))))/3*100</f>
        <v>47.345999273436121</v>
      </c>
      <c r="T69" s="17">
        <f t="shared" ref="T69:T132" si="10">(E69*H69*L69*O69*S69)^(1/5)</f>
        <v>60.292107687588206</v>
      </c>
    </row>
    <row r="70" spans="1:20" ht="16.5" thickBot="1" x14ac:dyDescent="0.3">
      <c r="A70" s="6" t="s">
        <v>31</v>
      </c>
      <c r="B70" s="2">
        <v>2015</v>
      </c>
      <c r="C70" s="7">
        <v>6809</v>
      </c>
      <c r="D70" s="7">
        <v>19</v>
      </c>
      <c r="E70" s="14">
        <f t="shared" si="6"/>
        <v>83.777555110220447</v>
      </c>
      <c r="F70" s="7">
        <v>67.8</v>
      </c>
      <c r="G70" s="7">
        <v>7.8</v>
      </c>
      <c r="H70" s="13">
        <f t="shared" si="7"/>
        <v>41.888888888888886</v>
      </c>
      <c r="I70" s="7">
        <v>1.84</v>
      </c>
      <c r="J70" s="7">
        <v>44.87</v>
      </c>
      <c r="K70" s="7">
        <v>92.68</v>
      </c>
      <c r="L70" s="13">
        <f t="shared" ref="L70:L133" si="11">(((I70-0)/(5-0))+((J70-15)/(100-15))+((K70-50)/(100-50)))/3*100</f>
        <v>52.433725490196082</v>
      </c>
      <c r="M70" s="7">
        <v>12.21</v>
      </c>
      <c r="N70" s="7">
        <v>8.14</v>
      </c>
      <c r="O70" s="13">
        <f t="shared" si="8"/>
        <v>53.478571428571442</v>
      </c>
      <c r="P70" s="7">
        <v>4.99</v>
      </c>
      <c r="Q70" s="12">
        <v>27786.68</v>
      </c>
      <c r="R70" s="11">
        <v>3.824446</v>
      </c>
      <c r="S70" s="13">
        <f t="shared" si="9"/>
        <v>52.758106943115365</v>
      </c>
      <c r="T70" s="17">
        <f t="shared" si="10"/>
        <v>55.342815305565686</v>
      </c>
    </row>
    <row r="71" spans="1:20" ht="16.5" thickBot="1" x14ac:dyDescent="0.3">
      <c r="A71" s="6" t="s">
        <v>31</v>
      </c>
      <c r="B71" s="2">
        <v>2016</v>
      </c>
      <c r="C71" s="7">
        <v>7211</v>
      </c>
      <c r="D71" s="7">
        <v>16</v>
      </c>
      <c r="E71" s="14">
        <f t="shared" si="6"/>
        <v>84.874749498998</v>
      </c>
      <c r="F71" s="7">
        <v>67.92</v>
      </c>
      <c r="G71" s="7">
        <v>6.35</v>
      </c>
      <c r="H71" s="13">
        <f t="shared" si="7"/>
        <v>50.144444444444446</v>
      </c>
      <c r="I71" s="7">
        <v>1.81</v>
      </c>
      <c r="J71" s="7">
        <v>48.06</v>
      </c>
      <c r="K71" s="7">
        <v>94.28</v>
      </c>
      <c r="L71" s="13">
        <f t="shared" si="11"/>
        <v>54.551372549019604</v>
      </c>
      <c r="M71" s="7">
        <v>12.29</v>
      </c>
      <c r="N71" s="7">
        <v>8.2799999999999994</v>
      </c>
      <c r="O71" s="13">
        <f t="shared" si="8"/>
        <v>54.878571428571419</v>
      </c>
      <c r="P71" s="7">
        <v>4.8499999999999996</v>
      </c>
      <c r="Q71" s="12">
        <v>28540.05</v>
      </c>
      <c r="R71" s="11">
        <v>4.4022300000000003</v>
      </c>
      <c r="S71" s="13">
        <f t="shared" si="9"/>
        <v>53.365403313840154</v>
      </c>
      <c r="T71" s="17">
        <f t="shared" si="10"/>
        <v>58.410903109768434</v>
      </c>
    </row>
    <row r="72" spans="1:20" ht="16.5" thickBot="1" x14ac:dyDescent="0.3">
      <c r="A72" s="6" t="s">
        <v>31</v>
      </c>
      <c r="B72" s="2">
        <v>2017</v>
      </c>
      <c r="C72" s="7">
        <v>6578</v>
      </c>
      <c r="D72" s="7">
        <v>43</v>
      </c>
      <c r="E72" s="14">
        <f t="shared" si="6"/>
        <v>72.009018036072149</v>
      </c>
      <c r="F72" s="7">
        <v>68.02</v>
      </c>
      <c r="G72" s="7">
        <v>6.41</v>
      </c>
      <c r="H72" s="13">
        <f t="shared" si="7"/>
        <v>49.977777777777774</v>
      </c>
      <c r="I72" s="7">
        <v>1.77</v>
      </c>
      <c r="J72" s="7">
        <v>53.32</v>
      </c>
      <c r="K72" s="7">
        <v>94.43</v>
      </c>
      <c r="L72" s="13">
        <f t="shared" si="11"/>
        <v>56.447450980392155</v>
      </c>
      <c r="M72" s="7">
        <v>12.46</v>
      </c>
      <c r="N72" s="7">
        <v>8.3699999999999992</v>
      </c>
      <c r="O72" s="13">
        <f t="shared" si="8"/>
        <v>56.371428571428574</v>
      </c>
      <c r="P72" s="7">
        <v>4.7300000000000004</v>
      </c>
      <c r="Q72" s="12">
        <v>29578.79</v>
      </c>
      <c r="R72" s="11">
        <v>5.283188</v>
      </c>
      <c r="S72" s="13">
        <f t="shared" si="9"/>
        <v>54.240603923444972</v>
      </c>
      <c r="T72" s="17">
        <f t="shared" si="10"/>
        <v>57.363857004777152</v>
      </c>
    </row>
    <row r="73" spans="1:20" ht="16.5" thickBot="1" x14ac:dyDescent="0.3">
      <c r="A73" s="6" t="s">
        <v>31</v>
      </c>
      <c r="B73" s="2">
        <v>2018</v>
      </c>
      <c r="C73" s="7">
        <v>5699</v>
      </c>
      <c r="D73" s="7">
        <v>37</v>
      </c>
      <c r="E73" s="14">
        <f t="shared" si="6"/>
        <v>75.889779559118239</v>
      </c>
      <c r="F73" s="7">
        <v>68.23</v>
      </c>
      <c r="G73" s="7">
        <v>5.51</v>
      </c>
      <c r="H73" s="13">
        <f t="shared" si="7"/>
        <v>55.32777777777779</v>
      </c>
      <c r="I73" s="7">
        <v>1.74</v>
      </c>
      <c r="J73" s="7">
        <v>40.69</v>
      </c>
      <c r="K73" s="7">
        <v>95.96</v>
      </c>
      <c r="L73" s="13">
        <f t="shared" si="11"/>
        <v>52.314509803921574</v>
      </c>
      <c r="M73" s="7">
        <v>12.5</v>
      </c>
      <c r="N73" s="7">
        <v>8.4499999999999993</v>
      </c>
      <c r="O73" s="13">
        <f t="shared" si="8"/>
        <v>57.142857142857139</v>
      </c>
      <c r="P73" s="7">
        <v>4.54</v>
      </c>
      <c r="Q73" s="12">
        <v>30614.85</v>
      </c>
      <c r="R73" s="11">
        <v>5.0829930000000001</v>
      </c>
      <c r="S73" s="13">
        <f t="shared" si="9"/>
        <v>54.338049307106139</v>
      </c>
      <c r="T73" s="17">
        <f t="shared" si="10"/>
        <v>58.447095601778457</v>
      </c>
    </row>
    <row r="74" spans="1:20" ht="16.5" thickBot="1" x14ac:dyDescent="0.3">
      <c r="A74" s="6" t="s">
        <v>31</v>
      </c>
      <c r="B74" s="2">
        <v>2019</v>
      </c>
      <c r="C74" s="7">
        <v>5375</v>
      </c>
      <c r="D74" s="7">
        <v>48</v>
      </c>
      <c r="E74" s="14">
        <f t="shared" si="6"/>
        <v>70.714428857715433</v>
      </c>
      <c r="F74" s="7">
        <v>68.5</v>
      </c>
      <c r="G74" s="7">
        <v>6.7</v>
      </c>
      <c r="H74" s="13">
        <f t="shared" si="7"/>
        <v>49.166666666666671</v>
      </c>
      <c r="I74" s="7">
        <v>1.71</v>
      </c>
      <c r="J74" s="7">
        <v>65.97</v>
      </c>
      <c r="K74" s="7">
        <v>97.16</v>
      </c>
      <c r="L74" s="13">
        <f t="shared" si="11"/>
        <v>62.82823529411764</v>
      </c>
      <c r="M74" s="7">
        <v>12.52</v>
      </c>
      <c r="N74" s="7">
        <v>8.59</v>
      </c>
      <c r="O74" s="13">
        <f t="shared" si="8"/>
        <v>58.242857142857133</v>
      </c>
      <c r="P74" s="7">
        <v>4.55</v>
      </c>
      <c r="Q74" s="12">
        <v>31611.46</v>
      </c>
      <c r="R74" s="11">
        <v>4.0756459999999999</v>
      </c>
      <c r="S74" s="13">
        <f t="shared" si="9"/>
        <v>53.763343200425304</v>
      </c>
      <c r="T74" s="17">
        <f t="shared" si="10"/>
        <v>58.480694386879421</v>
      </c>
    </row>
    <row r="75" spans="1:20" ht="16.5" thickBot="1" x14ac:dyDescent="0.3">
      <c r="A75" s="6" t="s">
        <v>31</v>
      </c>
      <c r="B75" s="2">
        <v>2020</v>
      </c>
      <c r="C75" s="7">
        <v>5206</v>
      </c>
      <c r="D75" s="7">
        <v>52</v>
      </c>
      <c r="E75" s="14">
        <f t="shared" si="6"/>
        <v>68.883767535070135</v>
      </c>
      <c r="F75" s="7">
        <v>68.69</v>
      </c>
      <c r="G75" s="7">
        <v>6.55</v>
      </c>
      <c r="H75" s="13">
        <f t="shared" si="7"/>
        <v>50.316666666666656</v>
      </c>
      <c r="I75" s="7">
        <v>1.1299999999999999</v>
      </c>
      <c r="J75" s="7">
        <v>63.55</v>
      </c>
      <c r="K75" s="7">
        <v>97.39</v>
      </c>
      <c r="L75" s="13">
        <f t="shared" si="11"/>
        <v>58.165882352941182</v>
      </c>
      <c r="M75" s="7">
        <v>12.68</v>
      </c>
      <c r="N75" s="7">
        <v>8.69</v>
      </c>
      <c r="O75" s="13">
        <f t="shared" si="8"/>
        <v>59.757142857142838</v>
      </c>
      <c r="P75" s="7">
        <v>4.38</v>
      </c>
      <c r="Q75" s="12">
        <v>32210.58</v>
      </c>
      <c r="R75" s="11">
        <v>-1.82</v>
      </c>
      <c r="S75" s="13">
        <f t="shared" si="9"/>
        <v>49.558545844408997</v>
      </c>
      <c r="T75" s="17">
        <f t="shared" si="10"/>
        <v>56.911638730014822</v>
      </c>
    </row>
    <row r="76" spans="1:20" ht="16.5" thickBot="1" x14ac:dyDescent="0.3">
      <c r="A76" s="6" t="s">
        <v>32</v>
      </c>
      <c r="B76" s="2">
        <v>2015</v>
      </c>
      <c r="C76" s="7">
        <v>2681</v>
      </c>
      <c r="D76" s="7">
        <v>14</v>
      </c>
      <c r="E76" s="14">
        <f t="shared" si="6"/>
        <v>90.413827655310612</v>
      </c>
      <c r="F76" s="7">
        <v>69.540000000000006</v>
      </c>
      <c r="G76" s="7">
        <v>6.05</v>
      </c>
      <c r="H76" s="13">
        <f t="shared" si="7"/>
        <v>54.51111111111112</v>
      </c>
      <c r="I76" s="7">
        <v>2.36</v>
      </c>
      <c r="J76" s="7">
        <v>40.659999999999997</v>
      </c>
      <c r="K76" s="7">
        <v>81.44</v>
      </c>
      <c r="L76" s="13">
        <f t="shared" si="11"/>
        <v>46.756078431372543</v>
      </c>
      <c r="M76" s="7">
        <v>12.22</v>
      </c>
      <c r="N76" s="7">
        <v>8.4</v>
      </c>
      <c r="O76" s="13">
        <f t="shared" si="8"/>
        <v>55.385714285714293</v>
      </c>
      <c r="P76" s="7">
        <v>5.94</v>
      </c>
      <c r="Q76" s="12">
        <v>31619.18</v>
      </c>
      <c r="R76" s="11">
        <v>7.0077769999999999</v>
      </c>
      <c r="S76" s="13">
        <f t="shared" si="9"/>
        <v>55.468633007265645</v>
      </c>
      <c r="T76" s="17">
        <f t="shared" si="10"/>
        <v>58.88445210447388</v>
      </c>
    </row>
    <row r="77" spans="1:20" ht="16.5" thickBot="1" x14ac:dyDescent="0.3">
      <c r="A77" s="6" t="s">
        <v>32</v>
      </c>
      <c r="B77" s="2">
        <v>2016</v>
      </c>
      <c r="C77" s="7">
        <v>3712</v>
      </c>
      <c r="D77" s="7">
        <v>16</v>
      </c>
      <c r="E77" s="14">
        <f t="shared" si="6"/>
        <v>88.38076152304609</v>
      </c>
      <c r="F77" s="7">
        <v>69.569999999999993</v>
      </c>
      <c r="G77" s="7">
        <v>5.62</v>
      </c>
      <c r="H77" s="13">
        <f t="shared" si="7"/>
        <v>56.949999999999989</v>
      </c>
      <c r="I77" s="7">
        <v>2.33</v>
      </c>
      <c r="J77" s="7">
        <v>52.67</v>
      </c>
      <c r="K77" s="7">
        <v>84.49</v>
      </c>
      <c r="L77" s="13">
        <f t="shared" si="11"/>
        <v>53.299215686274501</v>
      </c>
      <c r="M77" s="7">
        <v>12.33</v>
      </c>
      <c r="N77" s="7">
        <v>8.52</v>
      </c>
      <c r="O77" s="13">
        <f t="shared" si="8"/>
        <v>56.79285714285713</v>
      </c>
      <c r="P77" s="7">
        <v>5.66</v>
      </c>
      <c r="Q77" s="12">
        <v>32899.58</v>
      </c>
      <c r="R77" s="11">
        <v>6.3496110000000003</v>
      </c>
      <c r="S77" s="13">
        <f t="shared" si="9"/>
        <v>55.300010310118729</v>
      </c>
      <c r="T77" s="17">
        <f t="shared" si="10"/>
        <v>60.970287543343957</v>
      </c>
    </row>
    <row r="78" spans="1:20" ht="16.5" thickBot="1" x14ac:dyDescent="0.3">
      <c r="A78" s="6" t="s">
        <v>32</v>
      </c>
      <c r="B78" s="2">
        <v>2017</v>
      </c>
      <c r="C78" s="7">
        <v>2699</v>
      </c>
      <c r="D78" s="7">
        <v>28</v>
      </c>
      <c r="E78" s="14">
        <f t="shared" si="6"/>
        <v>83.395791583166329</v>
      </c>
      <c r="F78" s="7">
        <v>69.59</v>
      </c>
      <c r="G78" s="7">
        <v>7.11</v>
      </c>
      <c r="H78" s="13">
        <f t="shared" si="7"/>
        <v>48.705555555555563</v>
      </c>
      <c r="I78" s="7">
        <v>2.31</v>
      </c>
      <c r="J78" s="7">
        <v>52.74</v>
      </c>
      <c r="K78" s="7">
        <v>84.44</v>
      </c>
      <c r="L78" s="13">
        <f t="shared" si="11"/>
        <v>53.16</v>
      </c>
      <c r="M78" s="7">
        <v>12.45</v>
      </c>
      <c r="N78" s="7">
        <v>8.59</v>
      </c>
      <c r="O78" s="13">
        <f t="shared" si="8"/>
        <v>57.892857142857132</v>
      </c>
      <c r="P78" s="7">
        <v>5.37</v>
      </c>
      <c r="Q78" s="12">
        <v>34370.629999999997</v>
      </c>
      <c r="R78" s="11">
        <v>6.7278229999999999</v>
      </c>
      <c r="S78" s="13">
        <f t="shared" si="9"/>
        <v>55.935889392167283</v>
      </c>
      <c r="T78" s="17">
        <f t="shared" si="10"/>
        <v>58.738740244229696</v>
      </c>
    </row>
    <row r="79" spans="1:20" ht="16.5" thickBot="1" x14ac:dyDescent="0.3">
      <c r="A79" s="6" t="s">
        <v>32</v>
      </c>
      <c r="B79" s="2">
        <v>2018</v>
      </c>
      <c r="C79" s="7">
        <v>2667</v>
      </c>
      <c r="D79" s="7">
        <v>30</v>
      </c>
      <c r="E79" s="14">
        <f t="shared" si="6"/>
        <v>82.427855711422836</v>
      </c>
      <c r="F79" s="7">
        <v>69.64</v>
      </c>
      <c r="G79" s="7">
        <v>6.76</v>
      </c>
      <c r="H79" s="13">
        <f t="shared" si="7"/>
        <v>50.733333333333341</v>
      </c>
      <c r="I79" s="7">
        <v>2.2799999999999998</v>
      </c>
      <c r="J79" s="7">
        <v>44.11</v>
      </c>
      <c r="K79" s="7">
        <v>85.97</v>
      </c>
      <c r="L79" s="13">
        <f t="shared" si="11"/>
        <v>50.595686274509802</v>
      </c>
      <c r="M79" s="7">
        <v>12.55</v>
      </c>
      <c r="N79" s="7">
        <v>8.66</v>
      </c>
      <c r="O79" s="13">
        <f t="shared" si="8"/>
        <v>58.892857142857146</v>
      </c>
      <c r="P79" s="7">
        <v>5.17</v>
      </c>
      <c r="Q79" s="12">
        <v>35548.43</v>
      </c>
      <c r="R79" s="11">
        <v>5.607634</v>
      </c>
      <c r="S79" s="13">
        <f t="shared" si="9"/>
        <v>55.380091408825095</v>
      </c>
      <c r="T79" s="17">
        <f t="shared" si="10"/>
        <v>58.584056057552267</v>
      </c>
    </row>
    <row r="80" spans="1:20" ht="16.5" thickBot="1" x14ac:dyDescent="0.3">
      <c r="A80" s="6" t="s">
        <v>32</v>
      </c>
      <c r="B80" s="2">
        <v>2019</v>
      </c>
      <c r="C80" s="7">
        <v>2444</v>
      </c>
      <c r="D80" s="7">
        <v>23</v>
      </c>
      <c r="E80" s="14">
        <f t="shared" si="6"/>
        <v>86.151302605210418</v>
      </c>
      <c r="F80" s="7">
        <v>69.694999999999993</v>
      </c>
      <c r="G80" s="7">
        <v>6.84</v>
      </c>
      <c r="H80" s="13">
        <f t="shared" si="7"/>
        <v>50.380555555555539</v>
      </c>
      <c r="I80" s="7">
        <v>2.2599999999999998</v>
      </c>
      <c r="J80" s="7">
        <v>50.48</v>
      </c>
      <c r="K80" s="7">
        <v>90.42</v>
      </c>
      <c r="L80" s="13">
        <f t="shared" si="11"/>
        <v>55.927058823529407</v>
      </c>
      <c r="M80" s="7">
        <v>12.57</v>
      </c>
      <c r="N80" s="7">
        <v>8.83</v>
      </c>
      <c r="O80" s="13">
        <f t="shared" si="8"/>
        <v>60.207142857142856</v>
      </c>
      <c r="P80" s="7">
        <v>4.9800000000000004</v>
      </c>
      <c r="Q80" s="12">
        <v>37870.47</v>
      </c>
      <c r="R80" s="11">
        <v>6.1240880000000004</v>
      </c>
      <c r="S80" s="13">
        <f t="shared" si="9"/>
        <v>56.233998429913171</v>
      </c>
      <c r="T80" s="17">
        <f t="shared" si="10"/>
        <v>60.667870736474541</v>
      </c>
    </row>
    <row r="81" spans="1:20" ht="16.5" thickBot="1" x14ac:dyDescent="0.3">
      <c r="A81" s="6" t="s">
        <v>32</v>
      </c>
      <c r="B81" s="2">
        <v>2020</v>
      </c>
      <c r="C81" s="7">
        <v>2629</v>
      </c>
      <c r="D81" s="7">
        <v>18</v>
      </c>
      <c r="E81" s="14">
        <f t="shared" si="6"/>
        <v>88.465931863727462</v>
      </c>
      <c r="F81" s="7">
        <v>69.75</v>
      </c>
      <c r="G81" s="7">
        <v>6.06</v>
      </c>
      <c r="H81" s="13">
        <f t="shared" si="7"/>
        <v>54.80555555555555</v>
      </c>
      <c r="I81" s="7">
        <v>1.84</v>
      </c>
      <c r="J81" s="7">
        <v>52.98</v>
      </c>
      <c r="K81" s="7">
        <v>88.53</v>
      </c>
      <c r="L81" s="13">
        <f t="shared" si="11"/>
        <v>52.847450980392153</v>
      </c>
      <c r="M81" s="7">
        <v>12.66</v>
      </c>
      <c r="N81" s="7">
        <v>8.9499999999999993</v>
      </c>
      <c r="O81" s="13">
        <f t="shared" si="8"/>
        <v>61.514285714285712</v>
      </c>
      <c r="P81" s="7">
        <v>4.82</v>
      </c>
      <c r="Q81" s="12">
        <v>37148.730000000003</v>
      </c>
      <c r="R81" s="11">
        <v>-1.41</v>
      </c>
      <c r="S81" s="13">
        <f t="shared" si="9"/>
        <v>50.580443505227713</v>
      </c>
      <c r="T81" s="17">
        <f t="shared" si="10"/>
        <v>60.299909568392039</v>
      </c>
    </row>
    <row r="82" spans="1:20" ht="16.5" thickBot="1" x14ac:dyDescent="0.3">
      <c r="A82" s="6" t="s">
        <v>33</v>
      </c>
      <c r="B82" s="2">
        <v>2015</v>
      </c>
      <c r="C82" s="7">
        <v>8764</v>
      </c>
      <c r="D82" s="7">
        <v>49</v>
      </c>
      <c r="E82" s="14">
        <f t="shared" si="6"/>
        <v>66.818637274549104</v>
      </c>
      <c r="F82" s="7">
        <v>73.650000000000006</v>
      </c>
      <c r="G82" s="7">
        <v>2.99</v>
      </c>
      <c r="H82" s="13">
        <f t="shared" si="7"/>
        <v>78.361111111111128</v>
      </c>
      <c r="I82" s="7">
        <v>2.61</v>
      </c>
      <c r="J82" s="7">
        <v>47.3</v>
      </c>
      <c r="K82" s="7">
        <v>94.83</v>
      </c>
      <c r="L82" s="13">
        <f t="shared" si="11"/>
        <v>59.953333333333333</v>
      </c>
      <c r="M82" s="7">
        <v>13.18</v>
      </c>
      <c r="N82" s="7">
        <v>9.52</v>
      </c>
      <c r="O82" s="13">
        <f t="shared" si="8"/>
        <v>68.185714285714283</v>
      </c>
      <c r="P82" s="7">
        <v>6.23</v>
      </c>
      <c r="Q82" s="12">
        <v>128603.13</v>
      </c>
      <c r="R82" s="11">
        <v>-1.20008</v>
      </c>
      <c r="S82" s="13">
        <f t="shared" si="9"/>
        <v>66.305823905723898</v>
      </c>
      <c r="T82" s="17">
        <f t="shared" si="10"/>
        <v>67.672359773817234</v>
      </c>
    </row>
    <row r="83" spans="1:20" ht="16.5" thickBot="1" x14ac:dyDescent="0.3">
      <c r="A83" s="6" t="s">
        <v>33</v>
      </c>
      <c r="B83" s="2">
        <v>2016</v>
      </c>
      <c r="C83" s="7">
        <v>8896</v>
      </c>
      <c r="D83" s="7">
        <v>62</v>
      </c>
      <c r="E83" s="14">
        <f t="shared" si="6"/>
        <v>60.186372745490992</v>
      </c>
      <c r="F83" s="7">
        <v>73.680000000000007</v>
      </c>
      <c r="G83" s="7">
        <v>3.41</v>
      </c>
      <c r="H83" s="13">
        <f t="shared" si="7"/>
        <v>76.077777777777783</v>
      </c>
      <c r="I83" s="7">
        <v>2.58</v>
      </c>
      <c r="J83" s="7">
        <v>52.98</v>
      </c>
      <c r="K83" s="7">
        <v>95.57</v>
      </c>
      <c r="L83" s="13">
        <f t="shared" si="11"/>
        <v>62.474117647058812</v>
      </c>
      <c r="M83" s="7">
        <v>13.35</v>
      </c>
      <c r="N83" s="7">
        <v>9.5500000000000007</v>
      </c>
      <c r="O83" s="13">
        <f t="shared" si="8"/>
        <v>69.250000000000014</v>
      </c>
      <c r="P83" s="7">
        <v>6.11</v>
      </c>
      <c r="Q83" s="12">
        <v>125385.5</v>
      </c>
      <c r="R83" s="11">
        <v>-0.37953999999999999</v>
      </c>
      <c r="S83" s="13">
        <f t="shared" si="9"/>
        <v>66.38953886230729</v>
      </c>
      <c r="T83" s="17">
        <f t="shared" si="10"/>
        <v>66.649225947547365</v>
      </c>
    </row>
    <row r="84" spans="1:20" ht="16.5" thickBot="1" x14ac:dyDescent="0.3">
      <c r="A84" s="6" t="s">
        <v>33</v>
      </c>
      <c r="B84" s="2">
        <v>2017</v>
      </c>
      <c r="C84" s="7">
        <v>9149</v>
      </c>
      <c r="D84" s="7">
        <v>78</v>
      </c>
      <c r="E84" s="14">
        <f t="shared" si="6"/>
        <v>51.932865731462918</v>
      </c>
      <c r="F84" s="7">
        <v>73.7</v>
      </c>
      <c r="G84" s="7">
        <v>4.18</v>
      </c>
      <c r="H84" s="13">
        <f t="shared" si="7"/>
        <v>71.833333333333343</v>
      </c>
      <c r="I84" s="7">
        <v>2.31</v>
      </c>
      <c r="J84" s="7">
        <v>63.03</v>
      </c>
      <c r="K84" s="7">
        <v>96.44</v>
      </c>
      <c r="L84" s="13">
        <f t="shared" si="11"/>
        <v>65.195294117647066</v>
      </c>
      <c r="M84" s="7">
        <v>13.49</v>
      </c>
      <c r="N84" s="7">
        <v>9.6199999999999992</v>
      </c>
      <c r="O84" s="13">
        <f t="shared" si="8"/>
        <v>70.449999999999989</v>
      </c>
      <c r="P84" s="7">
        <v>6.19</v>
      </c>
      <c r="Q84" s="12">
        <v>126625.2</v>
      </c>
      <c r="R84" s="11">
        <v>3.1293760000000002</v>
      </c>
      <c r="S84" s="13">
        <f t="shared" si="9"/>
        <v>69.179291100478451</v>
      </c>
      <c r="T84" s="17">
        <f t="shared" si="10"/>
        <v>65.278224320443869</v>
      </c>
    </row>
    <row r="85" spans="1:20" ht="16.5" thickBot="1" x14ac:dyDescent="0.3">
      <c r="A85" s="6" t="s">
        <v>33</v>
      </c>
      <c r="B85" s="2">
        <v>2018</v>
      </c>
      <c r="C85" s="7">
        <v>6287</v>
      </c>
      <c r="D85" s="7">
        <v>76</v>
      </c>
      <c r="E85" s="14">
        <f t="shared" si="6"/>
        <v>55.800601202404806</v>
      </c>
      <c r="F85" s="7">
        <v>73.959999999999994</v>
      </c>
      <c r="G85" s="7">
        <v>4.04</v>
      </c>
      <c r="H85" s="13">
        <f t="shared" si="7"/>
        <v>73.044444444444437</v>
      </c>
      <c r="I85" s="7">
        <v>2.2000000000000002</v>
      </c>
      <c r="J85" s="7">
        <v>59</v>
      </c>
      <c r="K85" s="7">
        <v>96.34</v>
      </c>
      <c r="L85" s="13">
        <f t="shared" si="11"/>
        <v>62.814901960784319</v>
      </c>
      <c r="M85" s="7">
        <v>13.67</v>
      </c>
      <c r="N85" s="7">
        <v>9.6300000000000008</v>
      </c>
      <c r="O85" s="13">
        <f t="shared" si="8"/>
        <v>71.421428571428578</v>
      </c>
      <c r="P85" s="7">
        <v>6.03</v>
      </c>
      <c r="Q85" s="12">
        <v>127354.2</v>
      </c>
      <c r="R85" s="11">
        <v>2.6400299999999999</v>
      </c>
      <c r="S85" s="13">
        <f t="shared" si="9"/>
        <v>68.998579372674115</v>
      </c>
      <c r="T85" s="17">
        <f t="shared" si="10"/>
        <v>66.098482240006831</v>
      </c>
    </row>
    <row r="86" spans="1:20" ht="16.5" thickBot="1" x14ac:dyDescent="0.3">
      <c r="A86" s="6" t="s">
        <v>33</v>
      </c>
      <c r="B86" s="2">
        <v>2019</v>
      </c>
      <c r="C86" s="7">
        <v>6287</v>
      </c>
      <c r="D86" s="7">
        <v>65</v>
      </c>
      <c r="E86" s="14">
        <f t="shared" si="6"/>
        <v>61.300601202404813</v>
      </c>
      <c r="F86" s="7">
        <v>74.27</v>
      </c>
      <c r="G86" s="7">
        <v>3.85</v>
      </c>
      <c r="H86" s="13">
        <f t="shared" si="7"/>
        <v>74.61666666666666</v>
      </c>
      <c r="I86" s="7">
        <v>2.2400000000000002</v>
      </c>
      <c r="J86" s="7">
        <v>71.08</v>
      </c>
      <c r="K86" s="7">
        <v>96.39</v>
      </c>
      <c r="L86" s="13">
        <f t="shared" si="11"/>
        <v>67.85215686274509</v>
      </c>
      <c r="M86" s="7">
        <v>13.69</v>
      </c>
      <c r="N86" s="7">
        <v>9.8800000000000008</v>
      </c>
      <c r="O86" s="13">
        <f t="shared" si="8"/>
        <v>73.307142857142864</v>
      </c>
      <c r="P86" s="7">
        <v>5.94</v>
      </c>
      <c r="Q86" s="12">
        <v>134410.54999999999</v>
      </c>
      <c r="R86" s="11">
        <v>4.7381270000000004</v>
      </c>
      <c r="S86" s="13">
        <f t="shared" si="9"/>
        <v>71.820984469253943</v>
      </c>
      <c r="T86" s="17">
        <f t="shared" si="10"/>
        <v>69.606913452635098</v>
      </c>
    </row>
    <row r="87" spans="1:20" ht="16.5" thickBot="1" x14ac:dyDescent="0.3">
      <c r="A87" s="6" t="s">
        <v>33</v>
      </c>
      <c r="B87" s="2">
        <v>2020</v>
      </c>
      <c r="C87" s="7">
        <v>3609</v>
      </c>
      <c r="D87" s="7">
        <v>50</v>
      </c>
      <c r="E87" s="14">
        <f t="shared" si="6"/>
        <v>71.483967935871746</v>
      </c>
      <c r="F87" s="7">
        <v>74.375</v>
      </c>
      <c r="G87" s="7">
        <v>3.39</v>
      </c>
      <c r="H87" s="13">
        <f t="shared" si="7"/>
        <v>77.347222222222229</v>
      </c>
      <c r="I87" s="7">
        <v>2.13</v>
      </c>
      <c r="J87" s="7">
        <v>71.13</v>
      </c>
      <c r="K87" s="7">
        <v>97.46</v>
      </c>
      <c r="L87" s="13">
        <f t="shared" si="11"/>
        <v>67.851764705882331</v>
      </c>
      <c r="M87" s="7">
        <v>13.72</v>
      </c>
      <c r="N87" s="7">
        <v>9.99</v>
      </c>
      <c r="O87" s="13">
        <f t="shared" si="8"/>
        <v>74.242857142857147</v>
      </c>
      <c r="P87" s="7">
        <v>6.1</v>
      </c>
      <c r="Q87" s="12">
        <v>125807.52</v>
      </c>
      <c r="R87" s="11">
        <v>-2.87</v>
      </c>
      <c r="S87" s="13">
        <f t="shared" si="9"/>
        <v>64.622159276980327</v>
      </c>
      <c r="T87" s="17">
        <f t="shared" si="10"/>
        <v>70.965968229885661</v>
      </c>
    </row>
    <row r="88" spans="1:20" ht="16.5" thickBot="1" x14ac:dyDescent="0.3">
      <c r="A88" s="6" t="s">
        <v>34</v>
      </c>
      <c r="B88" s="2">
        <v>2015</v>
      </c>
      <c r="C88" s="7">
        <v>8764</v>
      </c>
      <c r="D88" s="7">
        <v>13</v>
      </c>
      <c r="E88" s="14">
        <f t="shared" si="6"/>
        <v>84.818637274549104</v>
      </c>
      <c r="F88" s="7">
        <v>72.16</v>
      </c>
      <c r="G88" s="7">
        <v>3.14</v>
      </c>
      <c r="H88" s="13">
        <f t="shared" si="7"/>
        <v>75.044444444444451</v>
      </c>
      <c r="I88" s="7">
        <v>2.61</v>
      </c>
      <c r="J88" s="7">
        <v>53.98</v>
      </c>
      <c r="K88" s="7">
        <v>95.39</v>
      </c>
      <c r="L88" s="13">
        <f t="shared" si="11"/>
        <v>62.946274509803921</v>
      </c>
      <c r="M88" s="7">
        <v>12.54</v>
      </c>
      <c r="N88" s="7">
        <v>8.67</v>
      </c>
      <c r="O88" s="13">
        <f t="shared" si="8"/>
        <v>58.914285714285711</v>
      </c>
      <c r="P88" s="7">
        <v>6.24</v>
      </c>
      <c r="Q88" s="12">
        <v>76823.460000000006</v>
      </c>
      <c r="R88" s="11">
        <v>3.3952279999999999</v>
      </c>
      <c r="S88" s="13">
        <f t="shared" si="9"/>
        <v>60.622236122629815</v>
      </c>
      <c r="T88" s="17">
        <f t="shared" si="10"/>
        <v>67.783889817819329</v>
      </c>
    </row>
    <row r="89" spans="1:20" ht="16.5" thickBot="1" x14ac:dyDescent="0.3">
      <c r="A89" s="6" t="s">
        <v>34</v>
      </c>
      <c r="B89" s="2">
        <v>2016</v>
      </c>
      <c r="C89" s="7">
        <v>8896</v>
      </c>
      <c r="D89" s="7">
        <v>15</v>
      </c>
      <c r="E89" s="14">
        <f t="shared" si="6"/>
        <v>83.686372745490985</v>
      </c>
      <c r="F89" s="7">
        <v>72.430000000000007</v>
      </c>
      <c r="G89" s="7">
        <v>3.2</v>
      </c>
      <c r="H89" s="13">
        <f t="shared" si="7"/>
        <v>75.161111111111126</v>
      </c>
      <c r="I89" s="7">
        <v>2.58</v>
      </c>
      <c r="J89" s="7">
        <v>58.93</v>
      </c>
      <c r="K89" s="7">
        <v>92.63</v>
      </c>
      <c r="L89" s="13">
        <f t="shared" si="11"/>
        <v>62.847450980392153</v>
      </c>
      <c r="M89" s="7">
        <v>12.59</v>
      </c>
      <c r="N89" s="7">
        <v>9.01</v>
      </c>
      <c r="O89" s="13">
        <f t="shared" si="8"/>
        <v>61.592857142857142</v>
      </c>
      <c r="P89" s="7">
        <v>6.23</v>
      </c>
      <c r="Q89" s="12">
        <v>76635.460000000006</v>
      </c>
      <c r="R89" s="11">
        <v>3.5465140000000002</v>
      </c>
      <c r="S89" s="13">
        <f t="shared" si="9"/>
        <v>60.70468437356017</v>
      </c>
      <c r="T89" s="17">
        <f t="shared" si="10"/>
        <v>68.224071208799529</v>
      </c>
    </row>
    <row r="90" spans="1:20" ht="16.5" thickBot="1" x14ac:dyDescent="0.3">
      <c r="A90" s="6" t="s">
        <v>34</v>
      </c>
      <c r="B90" s="2">
        <v>2017</v>
      </c>
      <c r="C90" s="7">
        <v>9149</v>
      </c>
      <c r="D90" s="7">
        <v>15</v>
      </c>
      <c r="E90" s="14">
        <f t="shared" si="6"/>
        <v>83.432865731462925</v>
      </c>
      <c r="F90" s="7">
        <v>72.47</v>
      </c>
      <c r="G90" s="7">
        <v>7.55</v>
      </c>
      <c r="H90" s="13">
        <f t="shared" si="7"/>
        <v>51.06111111111111</v>
      </c>
      <c r="I90" s="7">
        <v>2.31</v>
      </c>
      <c r="J90" s="7">
        <v>66.040000000000006</v>
      </c>
      <c r="K90" s="7">
        <v>95.11</v>
      </c>
      <c r="L90" s="13">
        <f t="shared" si="11"/>
        <v>65.489019607843133</v>
      </c>
      <c r="M90" s="7">
        <v>12.79</v>
      </c>
      <c r="N90" s="7">
        <v>9.1</v>
      </c>
      <c r="O90" s="13">
        <f t="shared" si="8"/>
        <v>63.23571428571428</v>
      </c>
      <c r="P90" s="7">
        <v>7.22</v>
      </c>
      <c r="Q90" s="12">
        <v>78918.570000000007</v>
      </c>
      <c r="R90" s="11">
        <v>6.8003280000000004</v>
      </c>
      <c r="S90" s="13">
        <f t="shared" si="9"/>
        <v>63.182129246854501</v>
      </c>
      <c r="T90" s="17">
        <f t="shared" si="10"/>
        <v>64.48081519785606</v>
      </c>
    </row>
    <row r="91" spans="1:20" ht="16.5" thickBot="1" x14ac:dyDescent="0.3">
      <c r="A91" s="6" t="s">
        <v>34</v>
      </c>
      <c r="B91" s="2">
        <v>2018</v>
      </c>
      <c r="C91" s="7">
        <v>396</v>
      </c>
      <c r="D91" s="7">
        <v>30</v>
      </c>
      <c r="E91" s="14">
        <f t="shared" si="6"/>
        <v>84.703406813627254</v>
      </c>
      <c r="F91" s="7">
        <v>72.5</v>
      </c>
      <c r="G91" s="7">
        <v>4.8099999999999996</v>
      </c>
      <c r="H91" s="13">
        <f t="shared" si="7"/>
        <v>66.333333333333329</v>
      </c>
      <c r="I91" s="7">
        <v>2.2799999999999998</v>
      </c>
      <c r="J91" s="7">
        <v>46.25</v>
      </c>
      <c r="K91" s="7">
        <v>95.98</v>
      </c>
      <c r="L91" s="13">
        <f t="shared" si="11"/>
        <v>58.108235294117648</v>
      </c>
      <c r="M91" s="7">
        <v>12.82</v>
      </c>
      <c r="N91" s="7">
        <v>9.18</v>
      </c>
      <c r="O91" s="13">
        <f t="shared" si="8"/>
        <v>63.957142857142856</v>
      </c>
      <c r="P91" s="7">
        <v>7.09</v>
      </c>
      <c r="Q91" s="12">
        <v>80204.84</v>
      </c>
      <c r="R91" s="11">
        <v>5.3578000000000001</v>
      </c>
      <c r="S91" s="13">
        <f t="shared" si="9"/>
        <v>62.383022434875066</v>
      </c>
      <c r="T91" s="17">
        <f t="shared" si="10"/>
        <v>66.521980500752264</v>
      </c>
    </row>
    <row r="92" spans="1:20" ht="16.5" thickBot="1" x14ac:dyDescent="0.3">
      <c r="A92" s="6" t="s">
        <v>34</v>
      </c>
      <c r="B92" s="2">
        <v>2019</v>
      </c>
      <c r="C92" s="7">
        <v>876</v>
      </c>
      <c r="D92" s="7">
        <v>22</v>
      </c>
      <c r="E92" s="14">
        <f t="shared" si="6"/>
        <v>88.222444889779567</v>
      </c>
      <c r="F92" s="7">
        <v>72.484999999999999</v>
      </c>
      <c r="G92" s="7">
        <v>3.76</v>
      </c>
      <c r="H92" s="13">
        <f t="shared" si="7"/>
        <v>72.141666666666666</v>
      </c>
      <c r="I92" s="7">
        <v>3.84</v>
      </c>
      <c r="J92" s="7">
        <v>76.97</v>
      </c>
      <c r="K92" s="7">
        <v>97.48</v>
      </c>
      <c r="L92" s="13">
        <f t="shared" si="11"/>
        <v>81.555294117647065</v>
      </c>
      <c r="M92" s="7">
        <v>12.84</v>
      </c>
      <c r="N92" s="7">
        <v>9.24</v>
      </c>
      <c r="O92" s="13">
        <f t="shared" si="8"/>
        <v>64.48571428571428</v>
      </c>
      <c r="P92" s="7">
        <v>6.63</v>
      </c>
      <c r="Q92" s="12">
        <v>88299.520000000004</v>
      </c>
      <c r="R92" s="11">
        <v>6.8976290000000002</v>
      </c>
      <c r="S92" s="13">
        <f t="shared" si="9"/>
        <v>65.098637962076921</v>
      </c>
      <c r="T92" s="17">
        <f t="shared" si="10"/>
        <v>73.731075197487684</v>
      </c>
    </row>
    <row r="93" spans="1:20" ht="16.5" thickBot="1" x14ac:dyDescent="0.3">
      <c r="A93" s="6" t="s">
        <v>34</v>
      </c>
      <c r="B93" s="2">
        <v>2020</v>
      </c>
      <c r="C93" s="7">
        <v>1015</v>
      </c>
      <c r="D93" s="7">
        <v>16</v>
      </c>
      <c r="E93" s="14">
        <f t="shared" si="6"/>
        <v>91.083166332665328</v>
      </c>
      <c r="F93" s="7">
        <v>72.534999999999997</v>
      </c>
      <c r="G93" s="7">
        <v>4.62</v>
      </c>
      <c r="H93" s="13">
        <f t="shared" si="7"/>
        <v>67.447222222222209</v>
      </c>
      <c r="I93" s="7">
        <v>2.86</v>
      </c>
      <c r="J93" s="7">
        <v>76.98</v>
      </c>
      <c r="K93" s="7">
        <v>95.92</v>
      </c>
      <c r="L93" s="13">
        <f t="shared" si="11"/>
        <v>73.985882352941175</v>
      </c>
      <c r="M93" s="7">
        <v>12.93</v>
      </c>
      <c r="N93" s="7">
        <v>9.3000000000000007</v>
      </c>
      <c r="O93" s="13">
        <f t="shared" si="8"/>
        <v>65.364285714285714</v>
      </c>
      <c r="P93" s="7">
        <v>6.8</v>
      </c>
      <c r="Q93" s="12">
        <v>86823.59</v>
      </c>
      <c r="R93" s="11">
        <v>-1.0900000000000001</v>
      </c>
      <c r="S93" s="13">
        <f t="shared" si="9"/>
        <v>58.865701594896336</v>
      </c>
      <c r="T93" s="17">
        <f t="shared" si="10"/>
        <v>70.558733683780858</v>
      </c>
    </row>
    <row r="94" spans="1:20" ht="16.5" thickBot="1" x14ac:dyDescent="0.3">
      <c r="A94" s="6" t="s">
        <v>35</v>
      </c>
      <c r="B94" s="2">
        <v>2015</v>
      </c>
      <c r="C94" s="7">
        <v>1875</v>
      </c>
      <c r="D94" s="7">
        <v>8</v>
      </c>
      <c r="E94" s="14">
        <f t="shared" si="6"/>
        <v>94.221442885771552</v>
      </c>
      <c r="F94" s="7">
        <v>69.88</v>
      </c>
      <c r="G94" s="7">
        <v>3.26</v>
      </c>
      <c r="H94" s="13">
        <f t="shared" si="7"/>
        <v>70.577777777777769</v>
      </c>
      <c r="I94" s="7">
        <v>2.2200000000000002</v>
      </c>
      <c r="J94" s="7">
        <v>24.68</v>
      </c>
      <c r="K94" s="7">
        <v>97.56</v>
      </c>
      <c r="L94" s="13">
        <f t="shared" si="11"/>
        <v>50.302745098039217</v>
      </c>
      <c r="M94" s="7">
        <v>11.6</v>
      </c>
      <c r="N94" s="7">
        <v>7.83</v>
      </c>
      <c r="O94" s="13">
        <f t="shared" si="8"/>
        <v>48.214285714285708</v>
      </c>
      <c r="P94" s="7">
        <v>5.4</v>
      </c>
      <c r="Q94" s="12">
        <v>33480.379999999997</v>
      </c>
      <c r="R94" s="11">
        <v>4.0826149999999997</v>
      </c>
      <c r="S94" s="13">
        <f t="shared" si="9"/>
        <v>53.81019083820663</v>
      </c>
      <c r="T94" s="17">
        <f t="shared" si="10"/>
        <v>61.332396859679179</v>
      </c>
    </row>
    <row r="95" spans="1:20" ht="16.5" thickBot="1" x14ac:dyDescent="0.3">
      <c r="A95" s="6" t="s">
        <v>35</v>
      </c>
      <c r="B95" s="2">
        <v>2016</v>
      </c>
      <c r="C95" s="7">
        <v>2094</v>
      </c>
      <c r="D95" s="7">
        <v>15</v>
      </c>
      <c r="E95" s="14">
        <f t="shared" si="6"/>
        <v>90.50200400801603</v>
      </c>
      <c r="F95" s="7">
        <v>69.92</v>
      </c>
      <c r="G95" s="7">
        <v>3.76</v>
      </c>
      <c r="H95" s="13">
        <f t="shared" si="7"/>
        <v>67.866666666666674</v>
      </c>
      <c r="I95" s="7">
        <v>2.2000000000000002</v>
      </c>
      <c r="J95" s="7">
        <v>40.78</v>
      </c>
      <c r="K95" s="7">
        <v>98.09</v>
      </c>
      <c r="L95" s="13">
        <f t="shared" si="11"/>
        <v>56.836470588235301</v>
      </c>
      <c r="M95" s="7">
        <v>11.71</v>
      </c>
      <c r="N95" s="7">
        <v>8.0399999999999991</v>
      </c>
      <c r="O95" s="13">
        <f t="shared" si="8"/>
        <v>50.26428571428572</v>
      </c>
      <c r="P95" s="7">
        <v>5.22</v>
      </c>
      <c r="Q95" s="12">
        <v>34132.870000000003</v>
      </c>
      <c r="R95" s="11">
        <v>4.1035149999999998</v>
      </c>
      <c r="S95" s="13">
        <f t="shared" si="9"/>
        <v>54.00075031011874</v>
      </c>
      <c r="T95" s="17">
        <f t="shared" si="10"/>
        <v>62.419491328329102</v>
      </c>
    </row>
    <row r="96" spans="1:20" ht="16.5" thickBot="1" x14ac:dyDescent="0.3">
      <c r="A96" s="6" t="s">
        <v>35</v>
      </c>
      <c r="B96" s="2">
        <v>2017</v>
      </c>
      <c r="C96" s="7">
        <v>1931</v>
      </c>
      <c r="D96" s="7">
        <v>14</v>
      </c>
      <c r="E96" s="14">
        <f t="shared" si="6"/>
        <v>91.165330661322642</v>
      </c>
      <c r="F96" s="7">
        <v>69.95</v>
      </c>
      <c r="G96" s="7">
        <v>3.57</v>
      </c>
      <c r="H96" s="13">
        <f t="shared" si="7"/>
        <v>68.972222222222229</v>
      </c>
      <c r="I96" s="7">
        <v>2.1800000000000002</v>
      </c>
      <c r="J96" s="7">
        <v>42.2</v>
      </c>
      <c r="K96" s="7">
        <v>98.76</v>
      </c>
      <c r="L96" s="13">
        <f t="shared" si="11"/>
        <v>57.706666666666671</v>
      </c>
      <c r="M96" s="7">
        <v>11.83</v>
      </c>
      <c r="N96" s="7">
        <v>8.1300000000000008</v>
      </c>
      <c r="O96" s="13">
        <f t="shared" si="8"/>
        <v>51.50714285714286</v>
      </c>
      <c r="P96" s="7">
        <v>5.2</v>
      </c>
      <c r="Q96" s="12">
        <v>34933.519999999997</v>
      </c>
      <c r="R96" s="11">
        <v>4.465732</v>
      </c>
      <c r="S96" s="13">
        <f t="shared" si="9"/>
        <v>54.41625811802232</v>
      </c>
      <c r="T96" s="17">
        <f t="shared" si="10"/>
        <v>63.308964583462441</v>
      </c>
    </row>
    <row r="97" spans="1:20" ht="16.5" thickBot="1" x14ac:dyDescent="0.3">
      <c r="A97" s="6" t="s">
        <v>35</v>
      </c>
      <c r="B97" s="2">
        <v>2018</v>
      </c>
      <c r="C97" s="7">
        <v>2048</v>
      </c>
      <c r="D97" s="7">
        <v>18</v>
      </c>
      <c r="E97" s="14">
        <f t="shared" si="6"/>
        <v>89.048096192384776</v>
      </c>
      <c r="F97" s="7">
        <v>70.180000000000007</v>
      </c>
      <c r="G97" s="7">
        <v>3.99</v>
      </c>
      <c r="H97" s="13">
        <f t="shared" si="7"/>
        <v>67.022222222222226</v>
      </c>
      <c r="I97" s="7">
        <v>2.16</v>
      </c>
      <c r="J97" s="7">
        <v>34.56</v>
      </c>
      <c r="K97" s="7">
        <v>97.06</v>
      </c>
      <c r="L97" s="13">
        <f t="shared" si="11"/>
        <v>53.443921568627452</v>
      </c>
      <c r="M97" s="7">
        <v>11.87</v>
      </c>
      <c r="N97" s="7">
        <v>8.24</v>
      </c>
      <c r="O97" s="13">
        <f t="shared" si="8"/>
        <v>52.49285714285714</v>
      </c>
      <c r="P97" s="7">
        <v>5.25</v>
      </c>
      <c r="Q97" s="12">
        <v>35762.04</v>
      </c>
      <c r="R97" s="11">
        <v>4.447101</v>
      </c>
      <c r="S97" s="13">
        <f t="shared" si="9"/>
        <v>54.530976746411483</v>
      </c>
      <c r="T97" s="17">
        <f t="shared" si="10"/>
        <v>61.957951983316967</v>
      </c>
    </row>
    <row r="98" spans="1:20" ht="16.5" thickBot="1" x14ac:dyDescent="0.3">
      <c r="A98" s="6" t="s">
        <v>35</v>
      </c>
      <c r="B98" s="2">
        <v>2019</v>
      </c>
      <c r="C98" s="7">
        <v>1953</v>
      </c>
      <c r="D98" s="7">
        <v>13</v>
      </c>
      <c r="E98" s="14">
        <f t="shared" si="6"/>
        <v>91.643286573146284</v>
      </c>
      <c r="F98" s="7">
        <v>70.545000000000002</v>
      </c>
      <c r="G98" s="7">
        <v>3.69</v>
      </c>
      <c r="H98" s="13">
        <f t="shared" si="7"/>
        <v>69.297222222222231</v>
      </c>
      <c r="I98" s="7">
        <v>2.14</v>
      </c>
      <c r="J98" s="7">
        <v>39.64</v>
      </c>
      <c r="K98" s="7">
        <v>98.08</v>
      </c>
      <c r="L98" s="13">
        <f t="shared" si="11"/>
        <v>55.98274509803921</v>
      </c>
      <c r="M98" s="7">
        <v>11.94</v>
      </c>
      <c r="N98" s="7">
        <v>8.35</v>
      </c>
      <c r="O98" s="13">
        <f t="shared" si="8"/>
        <v>53.628571428571426</v>
      </c>
      <c r="P98" s="7">
        <v>4.62</v>
      </c>
      <c r="Q98" s="12">
        <v>37173.14</v>
      </c>
      <c r="R98" s="11">
        <v>3.318225</v>
      </c>
      <c r="S98" s="13">
        <f t="shared" si="9"/>
        <v>54.154454917597015</v>
      </c>
      <c r="T98" s="17">
        <f t="shared" si="10"/>
        <v>63.500949313542023</v>
      </c>
    </row>
    <row r="99" spans="1:20" ht="16.5" thickBot="1" x14ac:dyDescent="0.3">
      <c r="A99" s="6" t="s">
        <v>35</v>
      </c>
      <c r="B99" s="2">
        <v>2020</v>
      </c>
      <c r="C99" s="7">
        <v>1931</v>
      </c>
      <c r="D99" s="7">
        <v>15</v>
      </c>
      <c r="E99" s="14">
        <f t="shared" si="6"/>
        <v>90.665330661322656</v>
      </c>
      <c r="F99" s="7">
        <v>70.680000000000007</v>
      </c>
      <c r="G99" s="7">
        <v>4.3099999999999996</v>
      </c>
      <c r="H99" s="13">
        <f t="shared" si="7"/>
        <v>66.077777777777797</v>
      </c>
      <c r="I99" s="7">
        <v>1.7</v>
      </c>
      <c r="J99" s="7">
        <v>55.47</v>
      </c>
      <c r="K99" s="7">
        <v>99.67</v>
      </c>
      <c r="L99" s="13">
        <f t="shared" si="11"/>
        <v>60.31725490196078</v>
      </c>
      <c r="M99" s="7">
        <v>12.05</v>
      </c>
      <c r="N99" s="7">
        <v>8.49</v>
      </c>
      <c r="O99" s="13">
        <f t="shared" si="8"/>
        <v>55.178571428571431</v>
      </c>
      <c r="P99" s="7">
        <v>4.53</v>
      </c>
      <c r="Q99" s="12">
        <v>36302.97</v>
      </c>
      <c r="R99" s="11">
        <v>-2.2999999999999998</v>
      </c>
      <c r="S99" s="13">
        <f t="shared" si="9"/>
        <v>49.870448396243134</v>
      </c>
      <c r="T99" s="17">
        <f t="shared" si="10"/>
        <v>63.024643026069327</v>
      </c>
    </row>
    <row r="100" spans="1:20" ht="16.5" thickBot="1" x14ac:dyDescent="0.3">
      <c r="A100" s="6" t="s">
        <v>36</v>
      </c>
      <c r="B100" s="2">
        <v>2015</v>
      </c>
      <c r="C100" s="7">
        <v>4892</v>
      </c>
      <c r="D100" s="7">
        <v>56</v>
      </c>
      <c r="E100" s="14">
        <f t="shared" si="6"/>
        <v>67.198396793587165</v>
      </c>
      <c r="F100" s="7">
        <v>69.41</v>
      </c>
      <c r="G100" s="7">
        <v>3.12</v>
      </c>
      <c r="H100" s="13">
        <f t="shared" si="7"/>
        <v>70.572222222222209</v>
      </c>
      <c r="I100" s="7">
        <v>3.11</v>
      </c>
      <c r="J100" s="7">
        <v>34.020000000000003</v>
      </c>
      <c r="K100" s="7">
        <v>97.64</v>
      </c>
      <c r="L100" s="13">
        <f t="shared" si="11"/>
        <v>59.952156862745099</v>
      </c>
      <c r="M100" s="7">
        <v>12.6</v>
      </c>
      <c r="N100" s="7">
        <v>9.85</v>
      </c>
      <c r="O100" s="13">
        <f t="shared" si="8"/>
        <v>67.642857142857139</v>
      </c>
      <c r="P100" s="7">
        <v>6.24</v>
      </c>
      <c r="Q100" s="12">
        <v>78625.429999999993</v>
      </c>
      <c r="R100" s="11">
        <v>6.0181829999999996</v>
      </c>
      <c r="S100" s="13">
        <f t="shared" si="9"/>
        <v>62.881300839978728</v>
      </c>
      <c r="T100" s="17">
        <f t="shared" si="10"/>
        <v>65.540265377801319</v>
      </c>
    </row>
    <row r="101" spans="1:20" ht="16.5" thickBot="1" x14ac:dyDescent="0.3">
      <c r="A101" s="6" t="s">
        <v>36</v>
      </c>
      <c r="B101" s="2">
        <v>2016</v>
      </c>
      <c r="C101" s="7">
        <v>4885</v>
      </c>
      <c r="D101" s="7">
        <v>52</v>
      </c>
      <c r="E101" s="14">
        <f t="shared" si="6"/>
        <v>69.205410821643284</v>
      </c>
      <c r="F101" s="7">
        <v>69.45</v>
      </c>
      <c r="G101" s="7">
        <v>3.1</v>
      </c>
      <c r="H101" s="13">
        <f t="shared" si="7"/>
        <v>70.75</v>
      </c>
      <c r="I101" s="7">
        <v>3.06</v>
      </c>
      <c r="J101" s="7">
        <v>44.94</v>
      </c>
      <c r="K101" s="7">
        <v>99.16</v>
      </c>
      <c r="L101" s="13">
        <f t="shared" si="11"/>
        <v>64.914509803921575</v>
      </c>
      <c r="M101" s="7">
        <v>12.66</v>
      </c>
      <c r="N101" s="7">
        <v>9.9</v>
      </c>
      <c r="O101" s="13">
        <f t="shared" si="8"/>
        <v>68.300000000000011</v>
      </c>
      <c r="P101" s="7">
        <v>5.98</v>
      </c>
      <c r="Q101" s="12">
        <v>80295.600000000006</v>
      </c>
      <c r="R101" s="11">
        <v>4.9775169999999997</v>
      </c>
      <c r="S101" s="13">
        <f t="shared" si="9"/>
        <v>62.490991504518881</v>
      </c>
      <c r="T101" s="17">
        <f t="shared" si="10"/>
        <v>67.063973146375133</v>
      </c>
    </row>
    <row r="102" spans="1:20" ht="16.5" thickBot="1" x14ac:dyDescent="0.3">
      <c r="A102" s="6" t="s">
        <v>36</v>
      </c>
      <c r="B102" s="2">
        <v>2017</v>
      </c>
      <c r="C102" s="7">
        <v>3673</v>
      </c>
      <c r="D102" s="7">
        <v>51</v>
      </c>
      <c r="E102" s="14">
        <f t="shared" si="6"/>
        <v>70.919839679358716</v>
      </c>
      <c r="F102" s="7">
        <v>69.48</v>
      </c>
      <c r="G102" s="7">
        <v>3.88</v>
      </c>
      <c r="H102" s="13">
        <f t="shared" si="7"/>
        <v>66.466666666666669</v>
      </c>
      <c r="I102" s="7">
        <v>3.01</v>
      </c>
      <c r="J102" s="7">
        <v>54.67</v>
      </c>
      <c r="K102" s="7">
        <v>99.3</v>
      </c>
      <c r="L102" s="13">
        <f t="shared" si="11"/>
        <v>68.490196078431381</v>
      </c>
      <c r="M102" s="7">
        <v>12.81</v>
      </c>
      <c r="N102" s="7">
        <v>10</v>
      </c>
      <c r="O102" s="13">
        <f t="shared" si="8"/>
        <v>69.76428571428572</v>
      </c>
      <c r="P102" s="7">
        <v>6.06</v>
      </c>
      <c r="Q102" s="12">
        <v>79743.679999999993</v>
      </c>
      <c r="R102" s="11">
        <v>1.982548</v>
      </c>
      <c r="S102" s="13">
        <f t="shared" si="9"/>
        <v>60.148731851851842</v>
      </c>
      <c r="T102" s="17">
        <f t="shared" si="10"/>
        <v>67.045855430535156</v>
      </c>
    </row>
    <row r="103" spans="1:20" ht="16.5" thickBot="1" x14ac:dyDescent="0.3">
      <c r="A103" s="6" t="s">
        <v>36</v>
      </c>
      <c r="B103" s="2">
        <v>2018</v>
      </c>
      <c r="C103" s="7">
        <v>3409</v>
      </c>
      <c r="D103" s="7">
        <v>42</v>
      </c>
      <c r="E103" s="14">
        <f t="shared" si="6"/>
        <v>75.684368737474955</v>
      </c>
      <c r="F103" s="7">
        <v>69.64</v>
      </c>
      <c r="G103" s="7">
        <v>3.46</v>
      </c>
      <c r="H103" s="13">
        <f t="shared" si="7"/>
        <v>69.066666666666677</v>
      </c>
      <c r="I103" s="7">
        <v>2.95</v>
      </c>
      <c r="J103" s="7">
        <v>53.85</v>
      </c>
      <c r="K103" s="7">
        <v>97.9</v>
      </c>
      <c r="L103" s="13">
        <f t="shared" si="11"/>
        <v>66.835294117647067</v>
      </c>
      <c r="M103" s="7">
        <v>12.82</v>
      </c>
      <c r="N103" s="7">
        <v>10.01</v>
      </c>
      <c r="O103" s="13">
        <f t="shared" si="8"/>
        <v>69.885714285714286</v>
      </c>
      <c r="P103" s="7">
        <v>6.2</v>
      </c>
      <c r="Q103" s="12">
        <v>81206.2</v>
      </c>
      <c r="R103" s="11">
        <v>4.4659170000000001</v>
      </c>
      <c r="S103" s="13">
        <f t="shared" si="9"/>
        <v>62.197708853446755</v>
      </c>
      <c r="T103" s="17">
        <f t="shared" si="10"/>
        <v>68.594401265507102</v>
      </c>
    </row>
    <row r="104" spans="1:20" ht="16.5" thickBot="1" x14ac:dyDescent="0.3">
      <c r="A104" s="6" t="s">
        <v>36</v>
      </c>
      <c r="B104" s="2">
        <v>2019</v>
      </c>
      <c r="C104" s="7">
        <v>3159</v>
      </c>
      <c r="D104" s="7">
        <v>51</v>
      </c>
      <c r="E104" s="14">
        <f t="shared" si="6"/>
        <v>71.434869739478955</v>
      </c>
      <c r="F104" s="7">
        <v>69.825000000000003</v>
      </c>
      <c r="G104" s="7">
        <v>3.05</v>
      </c>
      <c r="H104" s="13">
        <f t="shared" si="7"/>
        <v>71.652777777777786</v>
      </c>
      <c r="I104" s="7">
        <v>2.9</v>
      </c>
      <c r="J104" s="7">
        <v>57.31</v>
      </c>
      <c r="K104" s="7">
        <v>97.92</v>
      </c>
      <c r="L104" s="13">
        <f t="shared" si="11"/>
        <v>67.872156862745086</v>
      </c>
      <c r="M104" s="7">
        <v>12.83</v>
      </c>
      <c r="N104" s="7">
        <v>10.130000000000001</v>
      </c>
      <c r="O104" s="13">
        <f t="shared" si="8"/>
        <v>70.792857142857144</v>
      </c>
      <c r="P104" s="7">
        <v>5.9</v>
      </c>
      <c r="Q104" s="12">
        <v>81138.52</v>
      </c>
      <c r="R104" s="11">
        <v>4.8398680000000001</v>
      </c>
      <c r="S104" s="13">
        <f t="shared" si="9"/>
        <v>62.563846010987071</v>
      </c>
      <c r="T104" s="17">
        <f t="shared" si="10"/>
        <v>68.774836024712698</v>
      </c>
    </row>
    <row r="105" spans="1:20" ht="16.5" thickBot="1" x14ac:dyDescent="0.3">
      <c r="A105" s="6" t="s">
        <v>36</v>
      </c>
      <c r="B105" s="2">
        <v>2020</v>
      </c>
      <c r="C105" s="7">
        <v>2843</v>
      </c>
      <c r="D105" s="7">
        <v>33</v>
      </c>
      <c r="E105" s="14">
        <f t="shared" si="6"/>
        <v>80.751503006012015</v>
      </c>
      <c r="F105" s="7">
        <v>69.989999999999995</v>
      </c>
      <c r="G105" s="7">
        <v>2.61</v>
      </c>
      <c r="H105" s="13">
        <f t="shared" si="7"/>
        <v>74.37222222222222</v>
      </c>
      <c r="I105" s="7">
        <v>2.02</v>
      </c>
      <c r="J105" s="7">
        <v>59.49</v>
      </c>
      <c r="K105" s="7">
        <v>99.46</v>
      </c>
      <c r="L105" s="13">
        <f t="shared" si="11"/>
        <v>63.887058823529408</v>
      </c>
      <c r="M105" s="7">
        <v>12.87</v>
      </c>
      <c r="N105" s="7">
        <v>10.220000000000001</v>
      </c>
      <c r="O105" s="13">
        <f t="shared" si="8"/>
        <v>71.635714285714286</v>
      </c>
      <c r="P105" s="7">
        <v>5.92</v>
      </c>
      <c r="Q105" s="12">
        <v>85012.58</v>
      </c>
      <c r="R105" s="11">
        <v>-3.8</v>
      </c>
      <c r="S105" s="13">
        <f t="shared" si="9"/>
        <v>56.836869431153637</v>
      </c>
      <c r="T105" s="17">
        <f t="shared" si="10"/>
        <v>68.983750520244087</v>
      </c>
    </row>
    <row r="106" spans="1:20" ht="16.5" thickBot="1" x14ac:dyDescent="0.3">
      <c r="A106" s="6" t="s">
        <v>37</v>
      </c>
      <c r="B106" s="2">
        <v>2015</v>
      </c>
      <c r="C106" s="7">
        <v>9218</v>
      </c>
      <c r="D106" s="7">
        <v>36</v>
      </c>
      <c r="E106" s="14">
        <f t="shared" si="6"/>
        <v>72.863727454909821</v>
      </c>
      <c r="F106" s="7">
        <v>69.900000000000006</v>
      </c>
      <c r="G106" s="7">
        <v>5.49</v>
      </c>
      <c r="H106" s="13">
        <f t="shared" si="7"/>
        <v>58.222222222222229</v>
      </c>
      <c r="I106" s="7">
        <v>1.24</v>
      </c>
      <c r="J106" s="7">
        <v>50.44</v>
      </c>
      <c r="K106" s="7">
        <v>91.45</v>
      </c>
      <c r="L106" s="13">
        <f t="shared" si="11"/>
        <v>49.798039215686281</v>
      </c>
      <c r="M106" s="7">
        <v>12.25</v>
      </c>
      <c r="N106" s="7">
        <v>8.01</v>
      </c>
      <c r="O106" s="13">
        <f t="shared" si="8"/>
        <v>52.75</v>
      </c>
      <c r="P106" s="7">
        <v>14.35</v>
      </c>
      <c r="Q106" s="12">
        <v>24581.78</v>
      </c>
      <c r="R106" s="11">
        <v>5.1314849999999996</v>
      </c>
      <c r="S106" s="13">
        <f t="shared" si="9"/>
        <v>50.012505670742513</v>
      </c>
      <c r="T106" s="17">
        <f t="shared" si="10"/>
        <v>56.133574265954991</v>
      </c>
    </row>
    <row r="107" spans="1:20" ht="16.5" thickBot="1" x14ac:dyDescent="0.3">
      <c r="A107" s="6" t="s">
        <v>37</v>
      </c>
      <c r="B107" s="2">
        <v>2016</v>
      </c>
      <c r="C107" s="7">
        <v>10485</v>
      </c>
      <c r="D107" s="7">
        <v>28</v>
      </c>
      <c r="E107" s="14">
        <f t="shared" si="6"/>
        <v>75.594188376753507</v>
      </c>
      <c r="F107" s="7">
        <v>69.94</v>
      </c>
      <c r="G107" s="7">
        <v>4.03</v>
      </c>
      <c r="H107" s="13">
        <f t="shared" si="7"/>
        <v>66.399999999999991</v>
      </c>
      <c r="I107" s="7">
        <v>1.21</v>
      </c>
      <c r="J107" s="7">
        <v>54.9</v>
      </c>
      <c r="K107" s="7">
        <v>92.37</v>
      </c>
      <c r="L107" s="13">
        <f t="shared" si="11"/>
        <v>51.960392156862753</v>
      </c>
      <c r="M107" s="7">
        <v>12.35</v>
      </c>
      <c r="N107" s="7">
        <v>8.1</v>
      </c>
      <c r="O107" s="13">
        <f t="shared" si="8"/>
        <v>53.892857142857139</v>
      </c>
      <c r="P107" s="7">
        <v>14.29</v>
      </c>
      <c r="Q107" s="12">
        <v>25568.57</v>
      </c>
      <c r="R107" s="11">
        <v>5.140307</v>
      </c>
      <c r="S107" s="13">
        <f t="shared" si="9"/>
        <v>50.212363558390926</v>
      </c>
      <c r="T107" s="17">
        <f t="shared" si="10"/>
        <v>58.848331801593318</v>
      </c>
    </row>
    <row r="108" spans="1:20" ht="16.5" thickBot="1" x14ac:dyDescent="0.3">
      <c r="A108" s="6" t="s">
        <v>37</v>
      </c>
      <c r="B108" s="2">
        <v>2017</v>
      </c>
      <c r="C108" s="7">
        <v>11089</v>
      </c>
      <c r="D108" s="7">
        <v>14</v>
      </c>
      <c r="E108" s="14">
        <f t="shared" si="6"/>
        <v>81.988977955911821</v>
      </c>
      <c r="F108" s="7">
        <v>69.95</v>
      </c>
      <c r="G108" s="7">
        <v>5.64</v>
      </c>
      <c r="H108" s="13">
        <f t="shared" si="7"/>
        <v>57.472222222222236</v>
      </c>
      <c r="I108" s="7">
        <v>1.18</v>
      </c>
      <c r="J108" s="7">
        <v>54.03</v>
      </c>
      <c r="K108" s="7">
        <v>95.07</v>
      </c>
      <c r="L108" s="13">
        <f t="shared" si="11"/>
        <v>53.219215686274509</v>
      </c>
      <c r="M108" s="7">
        <v>12.46</v>
      </c>
      <c r="N108" s="7">
        <v>8.19</v>
      </c>
      <c r="O108" s="13">
        <f t="shared" si="8"/>
        <v>55.085714285714296</v>
      </c>
      <c r="P108" s="7">
        <v>13.69</v>
      </c>
      <c r="Q108" s="12">
        <v>26614.880000000001</v>
      </c>
      <c r="R108" s="11">
        <v>5.1633430000000002</v>
      </c>
      <c r="S108" s="13">
        <f t="shared" si="9"/>
        <v>50.615010622009571</v>
      </c>
      <c r="T108" s="17">
        <f t="shared" si="10"/>
        <v>58.738121058782042</v>
      </c>
    </row>
    <row r="109" spans="1:20" ht="16.5" thickBot="1" x14ac:dyDescent="0.3">
      <c r="A109" s="6" t="s">
        <v>37</v>
      </c>
      <c r="B109" s="2">
        <v>2018</v>
      </c>
      <c r="C109" s="7">
        <v>8963</v>
      </c>
      <c r="D109" s="7">
        <v>9</v>
      </c>
      <c r="E109" s="14">
        <f t="shared" si="6"/>
        <v>86.61923847695391</v>
      </c>
      <c r="F109" s="7">
        <v>70.180000000000007</v>
      </c>
      <c r="G109" s="7">
        <v>5.27</v>
      </c>
      <c r="H109" s="13">
        <f t="shared" si="7"/>
        <v>59.911111111111111</v>
      </c>
      <c r="I109" s="7">
        <v>1.1599999999999999</v>
      </c>
      <c r="J109" s="7">
        <v>44.58</v>
      </c>
      <c r="K109" s="7">
        <v>94.04</v>
      </c>
      <c r="L109" s="13">
        <f t="shared" si="11"/>
        <v>48.693333333333335</v>
      </c>
      <c r="M109" s="7">
        <v>12.61</v>
      </c>
      <c r="N109" s="7">
        <v>8.2899999999999991</v>
      </c>
      <c r="O109" s="13">
        <f t="shared" si="8"/>
        <v>56.54999999999999</v>
      </c>
      <c r="P109" s="7">
        <v>13.14</v>
      </c>
      <c r="Q109" s="12">
        <v>27736.26</v>
      </c>
      <c r="R109" s="11">
        <v>5.2305190000000001</v>
      </c>
      <c r="S109" s="13">
        <f t="shared" si="9"/>
        <v>51.046689140528088</v>
      </c>
      <c r="T109" s="17">
        <f t="shared" si="10"/>
        <v>59.237713350418225</v>
      </c>
    </row>
    <row r="110" spans="1:20" ht="16.5" thickBot="1" x14ac:dyDescent="0.3">
      <c r="A110" s="6" t="s">
        <v>37</v>
      </c>
      <c r="B110" s="2">
        <v>2019</v>
      </c>
      <c r="C110" s="7">
        <v>8534</v>
      </c>
      <c r="D110" s="7">
        <v>10</v>
      </c>
      <c r="E110" s="14">
        <f t="shared" si="6"/>
        <v>86.549098196392777</v>
      </c>
      <c r="F110" s="7">
        <v>70.56</v>
      </c>
      <c r="G110" s="7">
        <v>5.47</v>
      </c>
      <c r="H110" s="13">
        <f t="shared" si="7"/>
        <v>59.433333333333337</v>
      </c>
      <c r="I110" s="7">
        <v>1.1299999999999999</v>
      </c>
      <c r="J110" s="7">
        <v>66.84</v>
      </c>
      <c r="K110" s="7">
        <v>95.59</v>
      </c>
      <c r="L110" s="13">
        <f t="shared" si="11"/>
        <v>58.256078431372551</v>
      </c>
      <c r="M110" s="7">
        <v>12.63</v>
      </c>
      <c r="N110" s="7">
        <v>8.36</v>
      </c>
      <c r="O110" s="13">
        <f t="shared" si="8"/>
        <v>57.15</v>
      </c>
      <c r="P110" s="7">
        <v>12.62</v>
      </c>
      <c r="Q110" s="12">
        <v>28894.5</v>
      </c>
      <c r="R110" s="11">
        <v>5.2610549999999998</v>
      </c>
      <c r="S110" s="13">
        <f t="shared" si="9"/>
        <v>51.447592574871514</v>
      </c>
      <c r="T110" s="17">
        <f t="shared" si="10"/>
        <v>61.518117147235891</v>
      </c>
    </row>
    <row r="111" spans="1:20" ht="16.5" thickBot="1" x14ac:dyDescent="0.3">
      <c r="A111" s="6" t="s">
        <v>37</v>
      </c>
      <c r="B111" s="2">
        <v>2020</v>
      </c>
      <c r="C111" s="7">
        <v>794</v>
      </c>
      <c r="D111" s="7">
        <v>9</v>
      </c>
      <c r="E111" s="14">
        <f t="shared" si="6"/>
        <v>94.80460921843688</v>
      </c>
      <c r="F111" s="7">
        <v>70.694999999999993</v>
      </c>
      <c r="G111" s="7">
        <v>5.42</v>
      </c>
      <c r="H111" s="13">
        <f t="shared" si="7"/>
        <v>59.936111111111103</v>
      </c>
      <c r="I111" s="7">
        <v>1.65</v>
      </c>
      <c r="J111" s="7">
        <v>72.36</v>
      </c>
      <c r="K111" s="7">
        <v>97.32</v>
      </c>
      <c r="L111" s="13">
        <f t="shared" si="11"/>
        <v>65.040784313725482</v>
      </c>
      <c r="M111" s="7">
        <v>12.65</v>
      </c>
      <c r="N111" s="7">
        <v>8.51</v>
      </c>
      <c r="O111" s="13">
        <f t="shared" si="8"/>
        <v>58.321428571428569</v>
      </c>
      <c r="P111" s="7">
        <v>12.34</v>
      </c>
      <c r="Q111" s="12">
        <v>26743.75</v>
      </c>
      <c r="R111" s="11">
        <v>-1.67</v>
      </c>
      <c r="S111" s="13">
        <f t="shared" si="9"/>
        <v>46.030429292929291</v>
      </c>
      <c r="T111" s="17">
        <f t="shared" si="10"/>
        <v>62.996350739001528</v>
      </c>
    </row>
    <row r="112" spans="1:20" ht="16.5" thickBot="1" x14ac:dyDescent="0.3">
      <c r="A112" s="6" t="s">
        <v>38</v>
      </c>
      <c r="B112" s="2">
        <v>2015</v>
      </c>
      <c r="C112" s="7">
        <v>1843</v>
      </c>
      <c r="D112" s="7">
        <v>6</v>
      </c>
      <c r="E112" s="14">
        <f t="shared" si="6"/>
        <v>95.25350701402806</v>
      </c>
      <c r="F112" s="7">
        <v>65.31</v>
      </c>
      <c r="G112" s="7">
        <v>5.37</v>
      </c>
      <c r="H112" s="13">
        <f t="shared" si="7"/>
        <v>51.238888888888901</v>
      </c>
      <c r="I112" s="7">
        <v>1.81</v>
      </c>
      <c r="J112" s="7">
        <v>49.12</v>
      </c>
      <c r="K112" s="7">
        <v>60.52</v>
      </c>
      <c r="L112" s="13">
        <f t="shared" si="11"/>
        <v>32.460392156862746</v>
      </c>
      <c r="M112" s="7">
        <v>13.56</v>
      </c>
      <c r="N112" s="7">
        <v>9.5399999999999991</v>
      </c>
      <c r="O112" s="13">
        <f t="shared" si="8"/>
        <v>70.228571428571414</v>
      </c>
      <c r="P112" s="7">
        <v>19.510000000000002</v>
      </c>
      <c r="Q112" s="12">
        <v>14740.38</v>
      </c>
      <c r="R112" s="11">
        <v>5.4798229999999997</v>
      </c>
      <c r="S112" s="13">
        <f t="shared" si="9"/>
        <v>46.806598678008157</v>
      </c>
      <c r="T112" s="17">
        <f t="shared" si="10"/>
        <v>55.377210006690092</v>
      </c>
    </row>
    <row r="113" spans="1:20" ht="16.5" thickBot="1" x14ac:dyDescent="0.3">
      <c r="A113" s="6" t="s">
        <v>38</v>
      </c>
      <c r="B113" s="2">
        <v>2016</v>
      </c>
      <c r="C113" s="7">
        <v>2559</v>
      </c>
      <c r="D113" s="7">
        <v>6</v>
      </c>
      <c r="E113" s="14">
        <f t="shared" si="6"/>
        <v>94.536072144288568</v>
      </c>
      <c r="F113" s="7">
        <v>65.349999999999994</v>
      </c>
      <c r="G113" s="7">
        <v>5.05</v>
      </c>
      <c r="H113" s="13">
        <f t="shared" si="7"/>
        <v>53.083333333333329</v>
      </c>
      <c r="I113" s="7">
        <v>1.79</v>
      </c>
      <c r="J113" s="7">
        <v>44.72</v>
      </c>
      <c r="K113" s="7">
        <v>65.62</v>
      </c>
      <c r="L113" s="13">
        <f t="shared" si="11"/>
        <v>34.001568627450986</v>
      </c>
      <c r="M113" s="7">
        <v>13.73</v>
      </c>
      <c r="N113" s="7">
        <v>9.69</v>
      </c>
      <c r="O113" s="13">
        <f t="shared" si="8"/>
        <v>72.150000000000006</v>
      </c>
      <c r="P113" s="7">
        <v>19.18</v>
      </c>
      <c r="Q113" s="12">
        <v>15321.18</v>
      </c>
      <c r="R113" s="11">
        <v>5.732405</v>
      </c>
      <c r="S113" s="13">
        <f t="shared" si="9"/>
        <v>47.206702303739149</v>
      </c>
      <c r="T113" s="17">
        <f t="shared" si="10"/>
        <v>56.605540081701697</v>
      </c>
    </row>
    <row r="114" spans="1:20" ht="16.5" thickBot="1" x14ac:dyDescent="0.3">
      <c r="A114" s="6" t="s">
        <v>38</v>
      </c>
      <c r="B114" s="2">
        <v>2017</v>
      </c>
      <c r="C114" s="7">
        <v>3086</v>
      </c>
      <c r="D114" s="7">
        <v>9</v>
      </c>
      <c r="E114" s="14">
        <f t="shared" si="6"/>
        <v>92.508016032064134</v>
      </c>
      <c r="F114" s="7">
        <v>65.400000000000006</v>
      </c>
      <c r="G114" s="7">
        <v>6.28</v>
      </c>
      <c r="H114" s="13">
        <f t="shared" si="7"/>
        <v>46.333333333333343</v>
      </c>
      <c r="I114" s="7">
        <v>1.78</v>
      </c>
      <c r="J114" s="7">
        <v>51</v>
      </c>
      <c r="K114" s="7">
        <v>66.5</v>
      </c>
      <c r="L114" s="13">
        <f t="shared" si="11"/>
        <v>36.984313725490196</v>
      </c>
      <c r="M114" s="7">
        <v>13.91</v>
      </c>
      <c r="N114" s="7">
        <v>9.74</v>
      </c>
      <c r="O114" s="13">
        <f t="shared" si="8"/>
        <v>73.407142857142858</v>
      </c>
      <c r="P114" s="7">
        <v>18.45</v>
      </c>
      <c r="Q114" s="12">
        <v>15942.45</v>
      </c>
      <c r="R114" s="11">
        <v>5.8202959999999999</v>
      </c>
      <c r="S114" s="13">
        <f t="shared" si="9"/>
        <v>47.626592730816938</v>
      </c>
      <c r="T114" s="17">
        <f t="shared" si="10"/>
        <v>56.070659216735102</v>
      </c>
    </row>
    <row r="115" spans="1:20" ht="16.5" thickBot="1" x14ac:dyDescent="0.3">
      <c r="A115" s="6" t="s">
        <v>38</v>
      </c>
      <c r="B115" s="2">
        <v>2018</v>
      </c>
      <c r="C115" s="7">
        <v>2751</v>
      </c>
      <c r="D115" s="7">
        <v>19</v>
      </c>
      <c r="E115" s="14">
        <f t="shared" si="6"/>
        <v>87.843687374749507</v>
      </c>
      <c r="F115" s="7">
        <v>65.59</v>
      </c>
      <c r="G115" s="7">
        <v>5.57</v>
      </c>
      <c r="H115" s="13">
        <f t="shared" si="7"/>
        <v>50.594444444444456</v>
      </c>
      <c r="I115" s="7">
        <v>1.77</v>
      </c>
      <c r="J115" s="7">
        <v>36.36</v>
      </c>
      <c r="K115" s="7">
        <v>63.66</v>
      </c>
      <c r="L115" s="13">
        <f t="shared" si="11"/>
        <v>29.283137254901952</v>
      </c>
      <c r="M115" s="7">
        <v>13.92</v>
      </c>
      <c r="N115" s="7">
        <v>9.7799999999999994</v>
      </c>
      <c r="O115" s="13">
        <f t="shared" si="8"/>
        <v>73.742857142857133</v>
      </c>
      <c r="P115" s="7">
        <v>18.12</v>
      </c>
      <c r="Q115" s="12">
        <v>16607.02</v>
      </c>
      <c r="R115" s="11">
        <v>5.9073739999999999</v>
      </c>
      <c r="S115" s="13">
        <f t="shared" si="9"/>
        <v>47.918797292220454</v>
      </c>
      <c r="T115" s="17">
        <f t="shared" si="10"/>
        <v>54.017113394845126</v>
      </c>
    </row>
    <row r="116" spans="1:20" ht="16.5" thickBot="1" x14ac:dyDescent="0.3">
      <c r="A116" s="6" t="s">
        <v>38</v>
      </c>
      <c r="B116" s="2">
        <v>2019</v>
      </c>
      <c r="C116" s="7">
        <v>3495</v>
      </c>
      <c r="D116" s="7">
        <v>11</v>
      </c>
      <c r="E116" s="14">
        <f t="shared" si="6"/>
        <v>91.098196392785582</v>
      </c>
      <c r="F116" s="7">
        <v>65.87</v>
      </c>
      <c r="G116" s="7">
        <v>5.18</v>
      </c>
      <c r="H116" s="13">
        <f t="shared" si="7"/>
        <v>53.227777777777789</v>
      </c>
      <c r="I116" s="7">
        <v>1.75</v>
      </c>
      <c r="J116" s="7">
        <v>56.55</v>
      </c>
      <c r="K116" s="7">
        <v>68.34</v>
      </c>
      <c r="L116" s="13">
        <f t="shared" si="11"/>
        <v>40.187450980392157</v>
      </c>
      <c r="M116" s="7">
        <v>13.94</v>
      </c>
      <c r="N116" s="7">
        <v>10.029999999999999</v>
      </c>
      <c r="O116" s="13">
        <f t="shared" si="8"/>
        <v>75.628571428571419</v>
      </c>
      <c r="P116" s="7">
        <v>17.690000000000001</v>
      </c>
      <c r="Q116" s="12">
        <v>17556.86</v>
      </c>
      <c r="R116" s="11">
        <v>5.4054820000000001</v>
      </c>
      <c r="S116" s="13">
        <f t="shared" si="9"/>
        <v>47.858445181640974</v>
      </c>
      <c r="T116" s="17">
        <f t="shared" si="10"/>
        <v>58.840534789464478</v>
      </c>
    </row>
    <row r="117" spans="1:20" ht="16.5" thickBot="1" x14ac:dyDescent="0.3">
      <c r="A117" s="6" t="s">
        <v>38</v>
      </c>
      <c r="B117" s="2">
        <v>2020</v>
      </c>
      <c r="C117" s="7">
        <v>5350</v>
      </c>
      <c r="D117" s="7">
        <v>12</v>
      </c>
      <c r="E117" s="14">
        <f t="shared" si="6"/>
        <v>88.739478957915836</v>
      </c>
      <c r="F117" s="7">
        <v>66.025000000000006</v>
      </c>
      <c r="G117" s="7">
        <v>4.38</v>
      </c>
      <c r="H117" s="13">
        <f t="shared" si="7"/>
        <v>57.930555555555571</v>
      </c>
      <c r="I117" s="7">
        <v>1.83</v>
      </c>
      <c r="J117" s="7">
        <v>57.19</v>
      </c>
      <c r="K117" s="7">
        <v>72.81</v>
      </c>
      <c r="L117" s="13">
        <f t="shared" si="11"/>
        <v>43.951764705882354</v>
      </c>
      <c r="M117" s="7">
        <v>13.96</v>
      </c>
      <c r="N117" s="7">
        <v>10.199999999999999</v>
      </c>
      <c r="O117" s="13">
        <f t="shared" si="8"/>
        <v>76.942857142857136</v>
      </c>
      <c r="P117" s="7">
        <v>17.440000000000001</v>
      </c>
      <c r="Q117" s="12">
        <v>16687.79</v>
      </c>
      <c r="R117" s="11">
        <v>-0.92</v>
      </c>
      <c r="S117" s="13">
        <f t="shared" si="9"/>
        <v>43.104609622541204</v>
      </c>
      <c r="T117" s="17">
        <f t="shared" si="10"/>
        <v>59.55779109033157</v>
      </c>
    </row>
    <row r="118" spans="1:20" ht="16.5" thickBot="1" x14ac:dyDescent="0.3">
      <c r="A118" s="6" t="s">
        <v>39</v>
      </c>
      <c r="B118" s="2">
        <v>2015</v>
      </c>
      <c r="C118" s="7">
        <v>814</v>
      </c>
      <c r="D118" s="7">
        <v>3</v>
      </c>
      <c r="E118" s="14">
        <f t="shared" si="6"/>
        <v>97.784569138276552</v>
      </c>
      <c r="F118" s="7">
        <v>67.44</v>
      </c>
      <c r="G118" s="7">
        <v>4.68</v>
      </c>
      <c r="H118" s="13">
        <f t="shared" si="7"/>
        <v>58.62222222222222</v>
      </c>
      <c r="I118" s="7">
        <v>2.1800000000000002</v>
      </c>
      <c r="J118" s="7">
        <v>43.5</v>
      </c>
      <c r="K118" s="7">
        <v>65.959999999999994</v>
      </c>
      <c r="L118" s="13">
        <f t="shared" si="11"/>
        <v>36.349803921568629</v>
      </c>
      <c r="M118" s="7">
        <v>13.1</v>
      </c>
      <c r="N118" s="7">
        <v>8.81</v>
      </c>
      <c r="O118" s="13">
        <f t="shared" si="8"/>
        <v>62.714285714285722</v>
      </c>
      <c r="P118" s="7">
        <v>6.84</v>
      </c>
      <c r="Q118" s="12">
        <v>17533.78</v>
      </c>
      <c r="R118" s="11">
        <v>6.0989880000000003</v>
      </c>
      <c r="S118" s="13">
        <f t="shared" si="9"/>
        <v>52.021302860180754</v>
      </c>
      <c r="T118" s="17">
        <f t="shared" si="10"/>
        <v>58.408556904719852</v>
      </c>
    </row>
    <row r="119" spans="1:20" ht="16.5" thickBot="1" x14ac:dyDescent="0.3">
      <c r="A119" s="6" t="s">
        <v>39</v>
      </c>
      <c r="B119" s="2">
        <v>2016</v>
      </c>
      <c r="C119" s="7">
        <v>1096</v>
      </c>
      <c r="D119" s="7">
        <v>16</v>
      </c>
      <c r="E119" s="14">
        <f t="shared" si="6"/>
        <v>91.00200400801603</v>
      </c>
      <c r="F119" s="7">
        <v>67.510000000000005</v>
      </c>
      <c r="G119" s="7">
        <v>3.67</v>
      </c>
      <c r="H119" s="13">
        <f t="shared" si="7"/>
        <v>64.350000000000023</v>
      </c>
      <c r="I119" s="7">
        <v>2.16</v>
      </c>
      <c r="J119" s="7">
        <v>50.06</v>
      </c>
      <c r="K119" s="7">
        <v>72.790000000000006</v>
      </c>
      <c r="L119" s="13">
        <f t="shared" si="11"/>
        <v>43.342352941176479</v>
      </c>
      <c r="M119" s="7">
        <v>13.45</v>
      </c>
      <c r="N119" s="7">
        <v>8.9600000000000009</v>
      </c>
      <c r="O119" s="13">
        <f t="shared" si="8"/>
        <v>65.535714285714292</v>
      </c>
      <c r="P119" s="7">
        <v>6.33</v>
      </c>
      <c r="Q119" s="12">
        <v>18177.3</v>
      </c>
      <c r="R119" s="11">
        <v>5.7721429999999998</v>
      </c>
      <c r="S119" s="13">
        <f t="shared" si="9"/>
        <v>52.063810870104554</v>
      </c>
      <c r="T119" s="17">
        <f t="shared" si="10"/>
        <v>61.306312769735513</v>
      </c>
    </row>
    <row r="120" spans="1:20" ht="16.5" thickBot="1" x14ac:dyDescent="0.3">
      <c r="A120" s="6" t="s">
        <v>39</v>
      </c>
      <c r="B120" s="2">
        <v>2017</v>
      </c>
      <c r="C120" s="7">
        <v>789</v>
      </c>
      <c r="D120" s="7">
        <v>13</v>
      </c>
      <c r="E120" s="14">
        <f t="shared" si="6"/>
        <v>92.809619238476955</v>
      </c>
      <c r="F120" s="7">
        <v>67.540000000000006</v>
      </c>
      <c r="G120" s="7">
        <v>5.05</v>
      </c>
      <c r="H120" s="13">
        <f t="shared" si="7"/>
        <v>56.733333333333348</v>
      </c>
      <c r="I120" s="7">
        <v>2.59</v>
      </c>
      <c r="J120" s="7">
        <v>64.239999999999995</v>
      </c>
      <c r="K120" s="7">
        <v>71.38</v>
      </c>
      <c r="L120" s="13">
        <f t="shared" si="11"/>
        <v>50.829803921568626</v>
      </c>
      <c r="M120" s="7">
        <v>13.56</v>
      </c>
      <c r="N120" s="7">
        <v>9</v>
      </c>
      <c r="O120" s="13">
        <f t="shared" si="8"/>
        <v>66.371428571428567</v>
      </c>
      <c r="P120" s="7">
        <v>6.35</v>
      </c>
      <c r="Q120" s="12">
        <v>19192.97</v>
      </c>
      <c r="R120" s="11">
        <v>7.6736310000000003</v>
      </c>
      <c r="S120" s="13">
        <f t="shared" si="9"/>
        <v>53.643774212298425</v>
      </c>
      <c r="T120" s="17">
        <f t="shared" si="10"/>
        <v>62.489930771244246</v>
      </c>
    </row>
    <row r="121" spans="1:20" ht="16.5" thickBot="1" x14ac:dyDescent="0.3">
      <c r="A121" s="6" t="s">
        <v>39</v>
      </c>
      <c r="B121" s="2">
        <v>2018</v>
      </c>
      <c r="C121" s="7">
        <v>722</v>
      </c>
      <c r="D121" s="7">
        <v>8</v>
      </c>
      <c r="E121" s="14">
        <f t="shared" si="6"/>
        <v>95.37675350701403</v>
      </c>
      <c r="F121" s="7">
        <v>67.8</v>
      </c>
      <c r="G121" s="7">
        <v>5.5</v>
      </c>
      <c r="H121" s="13">
        <f t="shared" si="7"/>
        <v>54.666666666666664</v>
      </c>
      <c r="I121" s="7">
        <v>2.57</v>
      </c>
      <c r="J121" s="7">
        <v>64.28</v>
      </c>
      <c r="K121" s="7">
        <v>75.94</v>
      </c>
      <c r="L121" s="13">
        <f t="shared" si="11"/>
        <v>53.752156862745096</v>
      </c>
      <c r="M121" s="7">
        <v>13.62</v>
      </c>
      <c r="N121" s="7">
        <v>9.07</v>
      </c>
      <c r="O121" s="13">
        <f t="shared" si="8"/>
        <v>67.171428571428578</v>
      </c>
      <c r="P121" s="7">
        <v>6.64</v>
      </c>
      <c r="Q121" s="12">
        <v>20309.45</v>
      </c>
      <c r="R121" s="11">
        <v>7.8550300000000002</v>
      </c>
      <c r="S121" s="13">
        <f t="shared" si="9"/>
        <v>53.876374428495474</v>
      </c>
      <c r="T121" s="17">
        <f t="shared" si="10"/>
        <v>63.274510535536471</v>
      </c>
    </row>
    <row r="122" spans="1:20" ht="16.5" thickBot="1" x14ac:dyDescent="0.3">
      <c r="A122" s="6" t="s">
        <v>39</v>
      </c>
      <c r="B122" s="2">
        <v>2019</v>
      </c>
      <c r="C122" s="7">
        <v>718</v>
      </c>
      <c r="D122" s="7">
        <v>13</v>
      </c>
      <c r="E122" s="14">
        <f t="shared" si="6"/>
        <v>92.88076152304609</v>
      </c>
      <c r="F122" s="7">
        <v>68.209999999999994</v>
      </c>
      <c r="G122" s="7">
        <v>4.3899999999999997</v>
      </c>
      <c r="H122" s="13">
        <f t="shared" si="7"/>
        <v>61.516666666666652</v>
      </c>
      <c r="I122" s="7">
        <v>2.08</v>
      </c>
      <c r="J122" s="7">
        <v>64.36</v>
      </c>
      <c r="K122" s="7">
        <v>81.34</v>
      </c>
      <c r="L122" s="13">
        <f t="shared" si="11"/>
        <v>54.11686274509804</v>
      </c>
      <c r="M122" s="7">
        <v>13.63</v>
      </c>
      <c r="N122" s="7">
        <v>9.32</v>
      </c>
      <c r="O122" s="13">
        <f t="shared" si="8"/>
        <v>69.007142857142867</v>
      </c>
      <c r="P122" s="7">
        <v>6.77</v>
      </c>
      <c r="Q122" s="12">
        <v>21524.99</v>
      </c>
      <c r="R122" s="11">
        <v>6.1006039999999997</v>
      </c>
      <c r="S122" s="13">
        <f t="shared" si="9"/>
        <v>52.746281201488578</v>
      </c>
      <c r="T122" s="17">
        <f t="shared" si="10"/>
        <v>64.60519077432042</v>
      </c>
    </row>
    <row r="123" spans="1:20" ht="16.5" thickBot="1" x14ac:dyDescent="0.3">
      <c r="A123" s="6" t="s">
        <v>39</v>
      </c>
      <c r="B123" s="2">
        <v>2020</v>
      </c>
      <c r="C123" s="7">
        <v>850</v>
      </c>
      <c r="D123" s="7">
        <v>6</v>
      </c>
      <c r="E123" s="14">
        <f t="shared" si="6"/>
        <v>96.24849699398797</v>
      </c>
      <c r="F123" s="7">
        <v>68.375</v>
      </c>
      <c r="G123" s="7">
        <v>4.7699999999999996</v>
      </c>
      <c r="H123" s="13">
        <f t="shared" si="7"/>
        <v>59.680555555555557</v>
      </c>
      <c r="I123" s="7">
        <v>2.0699999999999998</v>
      </c>
      <c r="J123" s="7">
        <v>62.41</v>
      </c>
      <c r="K123" s="7">
        <v>80.98</v>
      </c>
      <c r="L123" s="13">
        <f t="shared" si="11"/>
        <v>53.04549019607844</v>
      </c>
      <c r="M123" s="7">
        <v>13.67</v>
      </c>
      <c r="N123" s="7">
        <v>9.42</v>
      </c>
      <c r="O123" s="13">
        <f t="shared" si="8"/>
        <v>69.921428571428578</v>
      </c>
      <c r="P123" s="7">
        <v>6.78</v>
      </c>
      <c r="Q123" s="12">
        <v>21906.6</v>
      </c>
      <c r="R123" s="11">
        <v>5.35</v>
      </c>
      <c r="S123" s="13">
        <f t="shared" si="9"/>
        <v>52.253860357965628</v>
      </c>
      <c r="T123" s="17">
        <f t="shared" si="10"/>
        <v>64.464525565981532</v>
      </c>
    </row>
    <row r="124" spans="1:20" ht="16.5" thickBot="1" x14ac:dyDescent="0.3">
      <c r="A124" s="6" t="s">
        <v>40</v>
      </c>
      <c r="B124" s="2">
        <v>2015</v>
      </c>
      <c r="C124" s="7">
        <v>6015</v>
      </c>
      <c r="D124" s="7">
        <v>5</v>
      </c>
      <c r="E124" s="14">
        <f t="shared" si="6"/>
        <v>91.573146292585179</v>
      </c>
      <c r="F124" s="7">
        <v>65.38</v>
      </c>
      <c r="G124" s="7">
        <v>6.06</v>
      </c>
      <c r="H124" s="13">
        <f t="shared" si="7"/>
        <v>47.522222222222219</v>
      </c>
      <c r="I124" s="7">
        <v>1.38</v>
      </c>
      <c r="J124" s="7">
        <v>70.19</v>
      </c>
      <c r="K124" s="7">
        <v>95.85</v>
      </c>
      <c r="L124" s="13">
        <f t="shared" si="11"/>
        <v>61.409803921568617</v>
      </c>
      <c r="M124" s="7">
        <v>13.04</v>
      </c>
      <c r="N124" s="7">
        <v>7.51</v>
      </c>
      <c r="O124" s="13">
        <f t="shared" si="8"/>
        <v>53.128571428571426</v>
      </c>
      <c r="P124" s="7">
        <v>17.100000000000001</v>
      </c>
      <c r="Q124" s="12">
        <v>18475.14</v>
      </c>
      <c r="R124" s="11">
        <v>21.75874</v>
      </c>
      <c r="S124" s="13">
        <f t="shared" si="9"/>
        <v>60.331724579124582</v>
      </c>
      <c r="T124" s="17">
        <f t="shared" si="10"/>
        <v>61.172368091407591</v>
      </c>
    </row>
    <row r="125" spans="1:20" ht="16.5" thickBot="1" x14ac:dyDescent="0.3">
      <c r="A125" s="6" t="s">
        <v>40</v>
      </c>
      <c r="B125" s="2">
        <v>2016</v>
      </c>
      <c r="C125" s="7">
        <v>7779</v>
      </c>
      <c r="D125" s="7">
        <v>15</v>
      </c>
      <c r="E125" s="14">
        <f t="shared" si="6"/>
        <v>84.805611222444881</v>
      </c>
      <c r="F125" s="7">
        <v>65.48</v>
      </c>
      <c r="G125" s="7">
        <v>6.49</v>
      </c>
      <c r="H125" s="13">
        <f t="shared" si="7"/>
        <v>45.300000000000004</v>
      </c>
      <c r="I125" s="7">
        <v>1.36</v>
      </c>
      <c r="J125" s="7">
        <v>73.430000000000007</v>
      </c>
      <c r="K125" s="7">
        <v>94.44</v>
      </c>
      <c r="L125" s="13">
        <f t="shared" si="11"/>
        <v>61.607058823529407</v>
      </c>
      <c r="M125" s="7">
        <v>13.16</v>
      </c>
      <c r="N125" s="7">
        <v>7.57</v>
      </c>
      <c r="O125" s="13">
        <f t="shared" si="8"/>
        <v>54.157142857142858</v>
      </c>
      <c r="P125" s="7">
        <v>16.48</v>
      </c>
      <c r="Q125" s="12">
        <v>19305.79</v>
      </c>
      <c r="R125" s="11">
        <v>5.8052570000000001</v>
      </c>
      <c r="S125" s="13">
        <f t="shared" si="9"/>
        <v>48.868812043239409</v>
      </c>
      <c r="T125" s="17">
        <f t="shared" si="10"/>
        <v>57.460335643567028</v>
      </c>
    </row>
    <row r="126" spans="1:20" ht="16.5" thickBot="1" x14ac:dyDescent="0.3">
      <c r="A126" s="6" t="s">
        <v>40</v>
      </c>
      <c r="B126" s="2">
        <v>2017</v>
      </c>
      <c r="C126" s="7">
        <v>8132</v>
      </c>
      <c r="D126" s="7">
        <v>7</v>
      </c>
      <c r="E126" s="14">
        <f t="shared" si="6"/>
        <v>88.451903807615224</v>
      </c>
      <c r="F126" s="7">
        <v>65.55</v>
      </c>
      <c r="G126" s="7">
        <v>6.44</v>
      </c>
      <c r="H126" s="13">
        <f t="shared" si="7"/>
        <v>45.694444444444436</v>
      </c>
      <c r="I126" s="7">
        <v>1.34</v>
      </c>
      <c r="J126" s="7">
        <v>67.180000000000007</v>
      </c>
      <c r="K126" s="7">
        <v>95.68</v>
      </c>
      <c r="L126" s="13">
        <f t="shared" si="11"/>
        <v>59.849411764705899</v>
      </c>
      <c r="M126" s="7">
        <v>13.46</v>
      </c>
      <c r="N126" s="7">
        <v>7.64</v>
      </c>
      <c r="O126" s="13">
        <f t="shared" si="8"/>
        <v>56.157142857142858</v>
      </c>
      <c r="P126" s="7">
        <v>16.07</v>
      </c>
      <c r="Q126" s="12">
        <v>19091.259999999998</v>
      </c>
      <c r="R126" s="11">
        <v>8.8780999999999999E-2</v>
      </c>
      <c r="S126" s="13">
        <f t="shared" si="9"/>
        <v>44.734795672514615</v>
      </c>
      <c r="T126" s="17">
        <f t="shared" si="10"/>
        <v>57.113159620032732</v>
      </c>
    </row>
    <row r="127" spans="1:20" ht="16.5" thickBot="1" x14ac:dyDescent="0.3">
      <c r="A127" s="6" t="s">
        <v>40</v>
      </c>
      <c r="B127" s="2">
        <v>2018</v>
      </c>
      <c r="C127" s="7">
        <v>6451</v>
      </c>
      <c r="D127" s="7">
        <v>11</v>
      </c>
      <c r="E127" s="14">
        <f t="shared" si="6"/>
        <v>88.136272545090179</v>
      </c>
      <c r="F127" s="7">
        <v>65.87</v>
      </c>
      <c r="G127" s="7">
        <v>7.31</v>
      </c>
      <c r="H127" s="13">
        <f t="shared" si="7"/>
        <v>41.394444444444453</v>
      </c>
      <c r="I127" s="7">
        <v>1.32</v>
      </c>
      <c r="J127" s="7">
        <v>64.25</v>
      </c>
      <c r="K127" s="7">
        <v>94.77</v>
      </c>
      <c r="L127" s="13">
        <f t="shared" si="11"/>
        <v>57.960392156862738</v>
      </c>
      <c r="M127" s="7">
        <v>13.47</v>
      </c>
      <c r="N127" s="7">
        <v>7.69</v>
      </c>
      <c r="O127" s="13">
        <f t="shared" si="8"/>
        <v>56.564285714285724</v>
      </c>
      <c r="P127" s="7">
        <v>14.75</v>
      </c>
      <c r="Q127" s="12">
        <v>18020.5</v>
      </c>
      <c r="R127" s="11">
        <v>-4.5018099999999999</v>
      </c>
      <c r="S127" s="13">
        <f t="shared" si="9"/>
        <v>41.590949707602334</v>
      </c>
      <c r="T127" s="17">
        <f t="shared" si="10"/>
        <v>54.87238531858079</v>
      </c>
    </row>
    <row r="128" spans="1:20" ht="16.5" thickBot="1" x14ac:dyDescent="0.3">
      <c r="A128" s="6" t="s">
        <v>40</v>
      </c>
      <c r="B128" s="2">
        <v>2019</v>
      </c>
      <c r="C128" s="7">
        <v>8185</v>
      </c>
      <c r="D128" s="7">
        <v>7</v>
      </c>
      <c r="E128" s="14">
        <f t="shared" si="6"/>
        <v>88.398797595190388</v>
      </c>
      <c r="F128" s="7">
        <v>66.239999999999995</v>
      </c>
      <c r="G128" s="7">
        <v>7.37</v>
      </c>
      <c r="H128" s="13">
        <f t="shared" si="7"/>
        <v>41.677777777777763</v>
      </c>
      <c r="I128" s="7">
        <v>1.29</v>
      </c>
      <c r="J128" s="7">
        <v>74.92</v>
      </c>
      <c r="K128" s="7">
        <v>96.99</v>
      </c>
      <c r="L128" s="13">
        <f t="shared" si="11"/>
        <v>63.424705882352939</v>
      </c>
      <c r="M128" s="7">
        <v>13.48</v>
      </c>
      <c r="N128" s="7">
        <v>7.98</v>
      </c>
      <c r="O128" s="13">
        <f t="shared" si="8"/>
        <v>58.685714285714283</v>
      </c>
      <c r="P128" s="7">
        <v>14.56</v>
      </c>
      <c r="Q128" s="12">
        <v>18219.11</v>
      </c>
      <c r="R128" s="11">
        <v>3.8966620000000001</v>
      </c>
      <c r="S128" s="13">
        <f t="shared" si="9"/>
        <v>47.910857001594898</v>
      </c>
      <c r="T128" s="17">
        <f t="shared" si="10"/>
        <v>58.011639800496418</v>
      </c>
    </row>
    <row r="129" spans="1:20" ht="16.5" thickBot="1" x14ac:dyDescent="0.3">
      <c r="A129" s="6" t="s">
        <v>40</v>
      </c>
      <c r="B129" s="2">
        <v>2020</v>
      </c>
      <c r="C129" s="7">
        <v>8591</v>
      </c>
      <c r="D129" s="7">
        <v>10</v>
      </c>
      <c r="E129" s="14">
        <f t="shared" si="6"/>
        <v>86.491983967935866</v>
      </c>
      <c r="F129" s="7">
        <v>66.510000000000005</v>
      </c>
      <c r="G129" s="7">
        <v>7.68</v>
      </c>
      <c r="H129" s="13">
        <f t="shared" si="7"/>
        <v>40.405555555555559</v>
      </c>
      <c r="I129" s="7">
        <v>1.63</v>
      </c>
      <c r="J129" s="7">
        <v>73.78</v>
      </c>
      <c r="K129" s="7">
        <v>97.36</v>
      </c>
      <c r="L129" s="13">
        <f t="shared" si="11"/>
        <v>65.490980392156871</v>
      </c>
      <c r="M129" s="7">
        <v>13.7</v>
      </c>
      <c r="N129" s="7">
        <v>8.08</v>
      </c>
      <c r="O129" s="13">
        <f t="shared" si="8"/>
        <v>60.5</v>
      </c>
      <c r="P129" s="7">
        <v>13.97</v>
      </c>
      <c r="Q129" s="12">
        <v>17583.11</v>
      </c>
      <c r="R129" s="11">
        <v>-0.62</v>
      </c>
      <c r="S129" s="13">
        <f t="shared" si="9"/>
        <v>44.652255697324115</v>
      </c>
      <c r="T129" s="17">
        <f t="shared" si="10"/>
        <v>57.311192118185247</v>
      </c>
    </row>
    <row r="130" spans="1:20" ht="16.5" thickBot="1" x14ac:dyDescent="0.3">
      <c r="A130" s="6" t="s">
        <v>41</v>
      </c>
      <c r="B130" s="2">
        <v>2015</v>
      </c>
      <c r="C130" s="7">
        <v>6709</v>
      </c>
      <c r="D130" s="7">
        <v>2</v>
      </c>
      <c r="E130" s="14">
        <f t="shared" si="6"/>
        <v>92.377755511022045</v>
      </c>
      <c r="F130" s="7">
        <v>65.959999999999994</v>
      </c>
      <c r="G130" s="7">
        <v>7</v>
      </c>
      <c r="H130" s="13">
        <f t="shared" si="7"/>
        <v>43.266666666666659</v>
      </c>
      <c r="I130" s="7">
        <v>1.7</v>
      </c>
      <c r="J130" s="7">
        <v>57.4</v>
      </c>
      <c r="K130" s="7">
        <v>73.92</v>
      </c>
      <c r="L130" s="13">
        <f t="shared" si="11"/>
        <v>43.907450980392156</v>
      </c>
      <c r="M130" s="7">
        <v>12.84</v>
      </c>
      <c r="N130" s="7">
        <v>7.4</v>
      </c>
      <c r="O130" s="13">
        <f t="shared" si="8"/>
        <v>51.342857142857149</v>
      </c>
      <c r="P130" s="7">
        <v>22.61</v>
      </c>
      <c r="Q130" s="12">
        <v>11087.91</v>
      </c>
      <c r="R130" s="11">
        <v>4.9213079999999998</v>
      </c>
      <c r="S130" s="13">
        <f t="shared" si="9"/>
        <v>44.708328608895975</v>
      </c>
      <c r="T130" s="17">
        <f t="shared" si="10"/>
        <v>52.604816161957224</v>
      </c>
    </row>
    <row r="131" spans="1:20" ht="16.5" thickBot="1" x14ac:dyDescent="0.3">
      <c r="A131" s="6" t="s">
        <v>41</v>
      </c>
      <c r="B131" s="2">
        <v>2016</v>
      </c>
      <c r="C131" s="7">
        <v>7813</v>
      </c>
      <c r="D131" s="7">
        <v>1</v>
      </c>
      <c r="E131" s="14">
        <f t="shared" si="6"/>
        <v>91.771543086172343</v>
      </c>
      <c r="F131" s="7">
        <v>66.040000000000006</v>
      </c>
      <c r="G131" s="7">
        <v>6.06</v>
      </c>
      <c r="H131" s="13">
        <f t="shared" si="7"/>
        <v>48.622222222222234</v>
      </c>
      <c r="I131" s="7">
        <v>1.69</v>
      </c>
      <c r="J131" s="7">
        <v>65.45</v>
      </c>
      <c r="K131" s="7">
        <v>77.88</v>
      </c>
      <c r="L131" s="13">
        <f t="shared" si="11"/>
        <v>49.637647058823518</v>
      </c>
      <c r="M131" s="7">
        <v>12.97</v>
      </c>
      <c r="N131" s="7">
        <v>7.54</v>
      </c>
      <c r="O131" s="13">
        <f t="shared" si="8"/>
        <v>52.992857142857154</v>
      </c>
      <c r="P131" s="7">
        <v>22.19</v>
      </c>
      <c r="Q131" s="12">
        <v>11468.79</v>
      </c>
      <c r="R131" s="11">
        <v>5.1209790000000002</v>
      </c>
      <c r="S131" s="13">
        <f t="shared" si="9"/>
        <v>45.064468247386145</v>
      </c>
      <c r="T131" s="17">
        <f t="shared" si="10"/>
        <v>55.549623813256325</v>
      </c>
    </row>
    <row r="132" spans="1:20" ht="16.5" thickBot="1" x14ac:dyDescent="0.3">
      <c r="A132" s="6" t="s">
        <v>41</v>
      </c>
      <c r="B132" s="2">
        <v>2017</v>
      </c>
      <c r="C132" s="7">
        <v>6729</v>
      </c>
      <c r="D132" s="7">
        <v>2</v>
      </c>
      <c r="E132" s="14">
        <f t="shared" si="6"/>
        <v>92.357715430861717</v>
      </c>
      <c r="F132" s="7">
        <v>66.069999999999993</v>
      </c>
      <c r="G132" s="7">
        <v>7.66</v>
      </c>
      <c r="H132" s="13">
        <f t="shared" si="7"/>
        <v>39.783333333333317</v>
      </c>
      <c r="I132" s="7">
        <v>1.68</v>
      </c>
      <c r="J132" s="7">
        <v>58.14</v>
      </c>
      <c r="K132" s="7">
        <v>80.59</v>
      </c>
      <c r="L132" s="13">
        <f t="shared" si="11"/>
        <v>48.510980392156867</v>
      </c>
      <c r="M132" s="7">
        <v>13.07</v>
      </c>
      <c r="N132" s="7">
        <v>7.62</v>
      </c>
      <c r="O132" s="13">
        <f t="shared" si="8"/>
        <v>54.064285714285717</v>
      </c>
      <c r="P132" s="7">
        <v>21.85</v>
      </c>
      <c r="Q132" s="12">
        <v>11863.41</v>
      </c>
      <c r="R132" s="11">
        <v>5.1064040000000004</v>
      </c>
      <c r="S132" s="13">
        <f t="shared" si="9"/>
        <v>45.237381644515324</v>
      </c>
      <c r="T132" s="17">
        <f t="shared" si="10"/>
        <v>53.442217016173231</v>
      </c>
    </row>
    <row r="133" spans="1:20" ht="16.5" thickBot="1" x14ac:dyDescent="0.3">
      <c r="A133" s="6" t="s">
        <v>41</v>
      </c>
      <c r="B133" s="2">
        <v>2018</v>
      </c>
      <c r="C133" s="7">
        <v>6257</v>
      </c>
      <c r="D133" s="7">
        <v>2</v>
      </c>
      <c r="E133" s="14">
        <f t="shared" ref="E133:E196" si="12">((1-((C133-100)/(50000-100)))+(1-((D133-0)/(100-0))))/2*100</f>
        <v>92.830661322645298</v>
      </c>
      <c r="F133" s="7">
        <v>66.38</v>
      </c>
      <c r="G133" s="7">
        <v>8.09</v>
      </c>
      <c r="H133" s="13">
        <f t="shared" ref="H133:H196" si="13">(((F133-50)/(80-50))+(1-(G133-1)/(10-1)))/2*100</f>
        <v>37.911111111111104</v>
      </c>
      <c r="I133" s="7">
        <v>1.67</v>
      </c>
      <c r="J133" s="7">
        <v>62.17</v>
      </c>
      <c r="K133" s="7">
        <v>82.08</v>
      </c>
      <c r="L133" s="13">
        <f t="shared" si="11"/>
        <v>51.018039215686272</v>
      </c>
      <c r="M133" s="7">
        <v>13.1</v>
      </c>
      <c r="N133" s="7">
        <v>7.7</v>
      </c>
      <c r="O133" s="13">
        <f t="shared" ref="O133:O196" si="14">(((M133-6)/(16-6))+((N133-5)/(12-5)))/2*100</f>
        <v>54.785714285714285</v>
      </c>
      <c r="P133" s="7">
        <v>21.35</v>
      </c>
      <c r="Q133" s="12">
        <v>12273.85</v>
      </c>
      <c r="R133" s="11">
        <v>5.1076269999999999</v>
      </c>
      <c r="S133" s="13">
        <f t="shared" ref="S133:S196" si="15">((1-((P133-1)/(100-1)))+((Q133-10000)/(200000-10000))+((R133-(-20))/(25-(-20))))/3*100</f>
        <v>45.478644756335278</v>
      </c>
      <c r="T133" s="17">
        <f t="shared" ref="T133:T196" si="16">(E133*H133*L133*O133*S133)^(1/5)</f>
        <v>53.719419711349289</v>
      </c>
    </row>
    <row r="134" spans="1:20" ht="16.5" thickBot="1" x14ac:dyDescent="0.3">
      <c r="A134" s="6" t="s">
        <v>41</v>
      </c>
      <c r="B134" s="2">
        <v>2019</v>
      </c>
      <c r="C134" s="7">
        <v>5865</v>
      </c>
      <c r="D134" s="7">
        <v>2</v>
      </c>
      <c r="E134" s="14">
        <f t="shared" si="12"/>
        <v>93.223446893787582</v>
      </c>
      <c r="F134" s="7">
        <v>66.894999999999996</v>
      </c>
      <c r="G134" s="7">
        <v>7.79</v>
      </c>
      <c r="H134" s="13">
        <f t="shared" si="13"/>
        <v>40.436111111111103</v>
      </c>
      <c r="I134" s="7">
        <v>1.66</v>
      </c>
      <c r="J134" s="7">
        <v>75.05</v>
      </c>
      <c r="K134" s="7">
        <v>83.19</v>
      </c>
      <c r="L134" s="13">
        <f t="shared" ref="L134:L197" si="17">(((I134-0)/(5-0))+((J134-15)/(100-15))+((K134-50)/(100-50)))/3*100</f>
        <v>56.742352941176463</v>
      </c>
      <c r="M134" s="7">
        <v>13.15</v>
      </c>
      <c r="N134" s="7">
        <v>7.98</v>
      </c>
      <c r="O134" s="13">
        <f t="shared" si="14"/>
        <v>57.035714285714292</v>
      </c>
      <c r="P134" s="7">
        <v>21.09</v>
      </c>
      <c r="Q134" s="12">
        <v>12761.98</v>
      </c>
      <c r="R134" s="11">
        <v>5.243201</v>
      </c>
      <c r="S134" s="13">
        <f t="shared" si="15"/>
        <v>45.752248871167815</v>
      </c>
      <c r="T134" s="17">
        <f t="shared" si="16"/>
        <v>56.150320807330502</v>
      </c>
    </row>
    <row r="135" spans="1:20" ht="16.5" thickBot="1" x14ac:dyDescent="0.3">
      <c r="A135" s="6" t="s">
        <v>41</v>
      </c>
      <c r="B135" s="2">
        <v>2020</v>
      </c>
      <c r="C135" s="7">
        <v>4790</v>
      </c>
      <c r="D135" s="7">
        <v>3</v>
      </c>
      <c r="E135" s="14">
        <f t="shared" si="12"/>
        <v>93.800601202404806</v>
      </c>
      <c r="F135" s="7">
        <v>67.055000000000007</v>
      </c>
      <c r="G135" s="7">
        <v>7.03</v>
      </c>
      <c r="H135" s="13">
        <f t="shared" si="13"/>
        <v>44.925000000000011</v>
      </c>
      <c r="I135" s="7">
        <v>1.25</v>
      </c>
      <c r="J135" s="7">
        <v>76.41</v>
      </c>
      <c r="K135" s="7">
        <v>84.88</v>
      </c>
      <c r="L135" s="13">
        <f t="shared" si="17"/>
        <v>55.669019607843126</v>
      </c>
      <c r="M135" s="7">
        <v>13.18</v>
      </c>
      <c r="N135" s="7">
        <v>8.09</v>
      </c>
      <c r="O135" s="13">
        <f t="shared" si="14"/>
        <v>57.971428571428561</v>
      </c>
      <c r="P135" s="7">
        <v>20.9</v>
      </c>
      <c r="Q135" s="12">
        <v>12960.95</v>
      </c>
      <c r="R135" s="11">
        <v>-0.84</v>
      </c>
      <c r="S135" s="13">
        <f t="shared" si="15"/>
        <v>41.34505413786993</v>
      </c>
      <c r="T135" s="17">
        <f t="shared" si="16"/>
        <v>56.232704286452716</v>
      </c>
    </row>
    <row r="136" spans="1:20" ht="16.5" thickBot="1" x14ac:dyDescent="0.3">
      <c r="A136" s="6" t="s">
        <v>42</v>
      </c>
      <c r="B136" s="2">
        <v>2015</v>
      </c>
      <c r="C136" s="7">
        <v>7194</v>
      </c>
      <c r="D136" s="7">
        <v>5</v>
      </c>
      <c r="E136" s="14">
        <f t="shared" si="12"/>
        <v>90.391783567134269</v>
      </c>
      <c r="F136" s="7">
        <v>65.09</v>
      </c>
      <c r="G136" s="7">
        <v>2.78</v>
      </c>
      <c r="H136" s="13">
        <f t="shared" si="13"/>
        <v>65.26111111111112</v>
      </c>
      <c r="I136" s="7">
        <v>1.97</v>
      </c>
      <c r="J136" s="7">
        <v>47.81</v>
      </c>
      <c r="K136" s="7">
        <v>61.38</v>
      </c>
      <c r="L136" s="13">
        <f t="shared" si="17"/>
        <v>33.586666666666673</v>
      </c>
      <c r="M136" s="7">
        <v>9.9499999999999993</v>
      </c>
      <c r="N136" s="7">
        <v>6.27</v>
      </c>
      <c r="O136" s="13">
        <f t="shared" si="14"/>
        <v>28.821428571428566</v>
      </c>
      <c r="P136" s="7">
        <v>28.17</v>
      </c>
      <c r="Q136" s="12">
        <v>41376.97</v>
      </c>
      <c r="R136" s="11">
        <v>7.3484470000000002</v>
      </c>
      <c r="S136" s="13">
        <f t="shared" si="15"/>
        <v>49.948025653021439</v>
      </c>
      <c r="T136" s="17">
        <f t="shared" si="16"/>
        <v>49.094950965009794</v>
      </c>
    </row>
    <row r="137" spans="1:20" ht="16.5" thickBot="1" x14ac:dyDescent="0.3">
      <c r="A137" s="6" t="s">
        <v>42</v>
      </c>
      <c r="B137" s="2">
        <v>2016</v>
      </c>
      <c r="C137" s="7">
        <v>3123</v>
      </c>
      <c r="D137" s="7">
        <v>18</v>
      </c>
      <c r="E137" s="14">
        <f t="shared" si="12"/>
        <v>87.970941883767537</v>
      </c>
      <c r="F137" s="7">
        <v>65.12</v>
      </c>
      <c r="G137" s="7">
        <v>2.63</v>
      </c>
      <c r="H137" s="13">
        <f t="shared" si="13"/>
        <v>66.144444444444446</v>
      </c>
      <c r="I137" s="7">
        <v>1.95</v>
      </c>
      <c r="J137" s="7">
        <v>60.72</v>
      </c>
      <c r="K137" s="7">
        <v>63.92</v>
      </c>
      <c r="L137" s="13">
        <f t="shared" si="17"/>
        <v>40.209411764705891</v>
      </c>
      <c r="M137" s="7">
        <v>10.23</v>
      </c>
      <c r="N137" s="7">
        <v>6.48</v>
      </c>
      <c r="O137" s="13">
        <f t="shared" si="14"/>
        <v>31.721428571428579</v>
      </c>
      <c r="P137" s="7">
        <v>28.54</v>
      </c>
      <c r="Q137" s="12">
        <v>44342.14</v>
      </c>
      <c r="R137" s="11">
        <v>9.1421869999999998</v>
      </c>
      <c r="S137" s="13">
        <f t="shared" si="15"/>
        <v>51.672348087896502</v>
      </c>
      <c r="T137" s="17">
        <f t="shared" si="16"/>
        <v>52.089987578850092</v>
      </c>
    </row>
    <row r="138" spans="1:20" ht="16.5" thickBot="1" x14ac:dyDescent="0.3">
      <c r="A138" s="6" t="s">
        <v>42</v>
      </c>
      <c r="B138" s="2">
        <v>2017</v>
      </c>
      <c r="C138" s="7">
        <v>6785</v>
      </c>
      <c r="D138" s="7">
        <v>16</v>
      </c>
      <c r="E138" s="14">
        <f t="shared" si="12"/>
        <v>85.301603206412821</v>
      </c>
      <c r="F138" s="7">
        <v>65.14</v>
      </c>
      <c r="G138" s="7">
        <v>3.28</v>
      </c>
      <c r="H138" s="13">
        <f t="shared" si="13"/>
        <v>62.56666666666667</v>
      </c>
      <c r="I138" s="7">
        <v>1.93</v>
      </c>
      <c r="J138" s="7">
        <v>59.27</v>
      </c>
      <c r="K138" s="7">
        <v>68.290000000000006</v>
      </c>
      <c r="L138" s="13">
        <f t="shared" si="17"/>
        <v>42.420784313725498</v>
      </c>
      <c r="M138" s="7">
        <v>10.54</v>
      </c>
      <c r="N138" s="7">
        <v>6.58</v>
      </c>
      <c r="O138" s="13">
        <f t="shared" si="14"/>
        <v>33.98571428571428</v>
      </c>
      <c r="P138" s="7">
        <v>27.62</v>
      </c>
      <c r="Q138" s="12">
        <v>45577.05</v>
      </c>
      <c r="R138" s="11">
        <v>4.6358680000000003</v>
      </c>
      <c r="S138" s="13">
        <f t="shared" si="15"/>
        <v>48.860749200779736</v>
      </c>
      <c r="T138" s="17">
        <f t="shared" si="16"/>
        <v>51.88323962030988</v>
      </c>
    </row>
    <row r="139" spans="1:20" ht="16.5" thickBot="1" x14ac:dyDescent="0.3">
      <c r="A139" s="6" t="s">
        <v>42</v>
      </c>
      <c r="B139" s="2">
        <v>2018</v>
      </c>
      <c r="C139" s="7">
        <v>7311</v>
      </c>
      <c r="D139" s="7">
        <v>39</v>
      </c>
      <c r="E139" s="14">
        <f t="shared" si="12"/>
        <v>73.274549098196388</v>
      </c>
      <c r="F139" s="7">
        <v>65.36</v>
      </c>
      <c r="G139" s="7">
        <v>3.01</v>
      </c>
      <c r="H139" s="13">
        <f t="shared" si="13"/>
        <v>64.433333333333337</v>
      </c>
      <c r="I139" s="7">
        <v>1.9</v>
      </c>
      <c r="J139" s="7">
        <v>43.48</v>
      </c>
      <c r="K139" s="7">
        <v>61.55</v>
      </c>
      <c r="L139" s="13">
        <f t="shared" si="17"/>
        <v>31.535294117647055</v>
      </c>
      <c r="M139" s="7">
        <v>10.83</v>
      </c>
      <c r="N139" s="7">
        <v>6.66</v>
      </c>
      <c r="O139" s="13">
        <f t="shared" si="14"/>
        <v>36.00714285714286</v>
      </c>
      <c r="P139" s="7">
        <v>27.74</v>
      </c>
      <c r="Q139" s="12">
        <v>48069.41</v>
      </c>
      <c r="R139" s="11">
        <v>7.3200409999999998</v>
      </c>
      <c r="S139" s="13">
        <f t="shared" si="15"/>
        <v>51.245877597022861</v>
      </c>
      <c r="T139" s="17">
        <f t="shared" si="16"/>
        <v>48.728343424460121</v>
      </c>
    </row>
    <row r="140" spans="1:20" ht="16.5" thickBot="1" x14ac:dyDescent="0.3">
      <c r="A140" s="6" t="s">
        <v>42</v>
      </c>
      <c r="B140" s="2">
        <v>2019</v>
      </c>
      <c r="C140" s="7">
        <v>6994</v>
      </c>
      <c r="D140" s="7">
        <v>18</v>
      </c>
      <c r="E140" s="14">
        <f t="shared" si="12"/>
        <v>84.092184368737477</v>
      </c>
      <c r="F140" s="7">
        <v>65.69</v>
      </c>
      <c r="G140" s="7">
        <v>2.41</v>
      </c>
      <c r="H140" s="13">
        <f t="shared" si="13"/>
        <v>68.316666666666663</v>
      </c>
      <c r="I140" s="7">
        <v>1.88</v>
      </c>
      <c r="J140" s="7">
        <v>79.05</v>
      </c>
      <c r="K140" s="7">
        <v>69.41</v>
      </c>
      <c r="L140" s="13">
        <f t="shared" si="17"/>
        <v>50.590980392156858</v>
      </c>
      <c r="M140" s="7">
        <v>11.05</v>
      </c>
      <c r="N140" s="7">
        <v>6.85</v>
      </c>
      <c r="O140" s="13">
        <f t="shared" si="14"/>
        <v>38.464285714285715</v>
      </c>
      <c r="P140" s="7">
        <v>27.53</v>
      </c>
      <c r="Q140" s="12">
        <v>40203.42</v>
      </c>
      <c r="R140" s="11">
        <v>-15.7469</v>
      </c>
      <c r="S140" s="13">
        <f t="shared" si="15"/>
        <v>32.849963459152931</v>
      </c>
      <c r="T140" s="17">
        <f t="shared" si="16"/>
        <v>51.640399336729452</v>
      </c>
    </row>
    <row r="141" spans="1:20" ht="16.5" thickBot="1" x14ac:dyDescent="0.3">
      <c r="A141" s="6" t="s">
        <v>42</v>
      </c>
      <c r="B141" s="2">
        <v>2020</v>
      </c>
      <c r="C141" s="7">
        <v>6962</v>
      </c>
      <c r="D141" s="7">
        <v>19</v>
      </c>
      <c r="E141" s="14">
        <f t="shared" si="12"/>
        <v>83.624248496993985</v>
      </c>
      <c r="F141" s="7">
        <v>65.834999999999994</v>
      </c>
      <c r="G141" s="7">
        <v>2.7</v>
      </c>
      <c r="H141" s="13">
        <f t="shared" si="13"/>
        <v>66.947222222222209</v>
      </c>
      <c r="I141" s="7">
        <v>4.13</v>
      </c>
      <c r="J141" s="7">
        <v>74.56</v>
      </c>
      <c r="K141" s="7">
        <v>68.489999999999995</v>
      </c>
      <c r="L141" s="13">
        <f t="shared" si="17"/>
        <v>63.216862745098034</v>
      </c>
      <c r="M141" s="7">
        <v>11.08</v>
      </c>
      <c r="N141" s="7">
        <v>6.96</v>
      </c>
      <c r="O141" s="13">
        <f t="shared" si="14"/>
        <v>39.4</v>
      </c>
      <c r="P141" s="7">
        <v>26.64</v>
      </c>
      <c r="Q141" s="12">
        <v>32108.51</v>
      </c>
      <c r="R141" s="11">
        <v>2.39</v>
      </c>
      <c r="S141" s="13">
        <f t="shared" si="15"/>
        <v>45.16420785043416</v>
      </c>
      <c r="T141" s="17">
        <f t="shared" si="16"/>
        <v>57.522488997093618</v>
      </c>
    </row>
    <row r="142" spans="1:20" ht="16.5" thickBot="1" x14ac:dyDescent="0.3">
      <c r="A142" s="6" t="s">
        <v>43</v>
      </c>
      <c r="B142" s="2">
        <v>2015</v>
      </c>
      <c r="C142" s="7">
        <v>1356</v>
      </c>
      <c r="D142" s="7">
        <v>3</v>
      </c>
      <c r="E142" s="14">
        <f t="shared" si="12"/>
        <v>97.241482965931866</v>
      </c>
      <c r="F142" s="7">
        <v>65.19</v>
      </c>
      <c r="G142" s="7">
        <v>3.92</v>
      </c>
      <c r="H142" s="13">
        <f t="shared" si="13"/>
        <v>59.094444444444449</v>
      </c>
      <c r="I142" s="7">
        <v>2.63</v>
      </c>
      <c r="J142" s="7">
        <v>39.04</v>
      </c>
      <c r="K142" s="7">
        <v>77.31</v>
      </c>
      <c r="L142" s="13">
        <f t="shared" si="17"/>
        <v>45.167450980392161</v>
      </c>
      <c r="M142" s="7">
        <v>12.06</v>
      </c>
      <c r="N142" s="7">
        <v>9.4700000000000006</v>
      </c>
      <c r="O142" s="13">
        <f t="shared" si="14"/>
        <v>62.228571428571435</v>
      </c>
      <c r="P142" s="7">
        <v>25.82</v>
      </c>
      <c r="Q142" s="12">
        <v>60064.13</v>
      </c>
      <c r="R142" s="11">
        <v>4.1515789999999999</v>
      </c>
      <c r="S142" s="13">
        <f t="shared" si="15"/>
        <v>51.649670196703887</v>
      </c>
      <c r="T142" s="17">
        <f t="shared" si="16"/>
        <v>60.849391365284013</v>
      </c>
    </row>
    <row r="143" spans="1:20" ht="16.5" thickBot="1" x14ac:dyDescent="0.3">
      <c r="A143" s="6" t="s">
        <v>43</v>
      </c>
      <c r="B143" s="2">
        <v>2016</v>
      </c>
      <c r="C143" s="7">
        <v>8103</v>
      </c>
      <c r="D143" s="7">
        <v>9</v>
      </c>
      <c r="E143" s="14">
        <f t="shared" si="12"/>
        <v>87.480961923847687</v>
      </c>
      <c r="F143" s="7">
        <v>65.3</v>
      </c>
      <c r="G143" s="7">
        <v>4.01</v>
      </c>
      <c r="H143" s="13">
        <f t="shared" si="13"/>
        <v>58.777777777777771</v>
      </c>
      <c r="I143" s="7">
        <v>2.61</v>
      </c>
      <c r="J143" s="7">
        <v>57.68</v>
      </c>
      <c r="K143" s="7">
        <v>84.65</v>
      </c>
      <c r="L143" s="13">
        <f t="shared" si="17"/>
        <v>57.237254901960789</v>
      </c>
      <c r="M143" s="7">
        <v>12.26</v>
      </c>
      <c r="N143" s="7">
        <v>9.57</v>
      </c>
      <c r="O143" s="13">
        <f t="shared" si="14"/>
        <v>63.942857142857143</v>
      </c>
      <c r="P143" s="7">
        <v>25.43</v>
      </c>
      <c r="Q143" s="12">
        <v>61242.01</v>
      </c>
      <c r="R143" s="11">
        <v>4.5175710000000002</v>
      </c>
      <c r="S143" s="13">
        <f t="shared" si="15"/>
        <v>52.258734127237283</v>
      </c>
      <c r="T143" s="17">
        <f t="shared" si="16"/>
        <v>62.885611234373549</v>
      </c>
    </row>
    <row r="144" spans="1:20" ht="16.5" thickBot="1" x14ac:dyDescent="0.3">
      <c r="A144" s="6" t="s">
        <v>43</v>
      </c>
      <c r="B144" s="2">
        <v>2017</v>
      </c>
      <c r="C144" s="7">
        <v>2284</v>
      </c>
      <c r="D144" s="7">
        <v>6</v>
      </c>
      <c r="E144" s="14">
        <f t="shared" si="12"/>
        <v>94.811623246492985</v>
      </c>
      <c r="F144" s="7">
        <v>65.319999999999993</v>
      </c>
      <c r="G144" s="7">
        <v>5.46</v>
      </c>
      <c r="H144" s="13">
        <f t="shared" si="13"/>
        <v>50.755555555555553</v>
      </c>
      <c r="I144" s="7">
        <v>2.59</v>
      </c>
      <c r="J144" s="7">
        <v>54.24</v>
      </c>
      <c r="K144" s="7">
        <v>76.78</v>
      </c>
      <c r="L144" s="13">
        <f t="shared" si="17"/>
        <v>50.508235294117654</v>
      </c>
      <c r="M144" s="7">
        <v>12.47</v>
      </c>
      <c r="N144" s="7">
        <v>9.67</v>
      </c>
      <c r="O144" s="13">
        <f t="shared" si="14"/>
        <v>65.707142857142856</v>
      </c>
      <c r="P144" s="7">
        <v>25.1</v>
      </c>
      <c r="Q144" s="12">
        <v>62169.96</v>
      </c>
      <c r="R144" s="11">
        <v>4.0150399999999999</v>
      </c>
      <c r="S144" s="13">
        <f t="shared" si="15"/>
        <v>52.160398298777245</v>
      </c>
      <c r="T144" s="17">
        <f t="shared" si="16"/>
        <v>60.832010341153939</v>
      </c>
    </row>
    <row r="145" spans="1:20" ht="16.5" thickBot="1" x14ac:dyDescent="0.3">
      <c r="A145" s="6" t="s">
        <v>43</v>
      </c>
      <c r="B145" s="2">
        <v>2018</v>
      </c>
      <c r="C145" s="7">
        <v>3475</v>
      </c>
      <c r="D145" s="7">
        <v>7</v>
      </c>
      <c r="E145" s="14">
        <f t="shared" si="12"/>
        <v>93.118236472945881</v>
      </c>
      <c r="F145" s="7">
        <v>65.55</v>
      </c>
      <c r="G145" s="7">
        <v>4.33</v>
      </c>
      <c r="H145" s="13">
        <f t="shared" si="13"/>
        <v>57.416666666666657</v>
      </c>
      <c r="I145" s="7">
        <v>2.57</v>
      </c>
      <c r="J145" s="7">
        <v>35.01</v>
      </c>
      <c r="K145" s="7">
        <v>82.63</v>
      </c>
      <c r="L145" s="13">
        <f t="shared" si="17"/>
        <v>46.733725490196079</v>
      </c>
      <c r="M145" s="7">
        <v>12.53</v>
      </c>
      <c r="N145" s="7">
        <v>9.73</v>
      </c>
      <c r="O145" s="13">
        <f t="shared" si="14"/>
        <v>66.435714285714283</v>
      </c>
      <c r="P145" s="7">
        <v>23.01</v>
      </c>
      <c r="Q145" s="12">
        <v>64499.45</v>
      </c>
      <c r="R145" s="11">
        <v>6.2514279999999998</v>
      </c>
      <c r="S145" s="13">
        <f t="shared" si="15"/>
        <v>54.929368162324998</v>
      </c>
      <c r="T145" s="17">
        <f t="shared" si="16"/>
        <v>61.941521186775468</v>
      </c>
    </row>
    <row r="146" spans="1:20" ht="16.5" thickBot="1" x14ac:dyDescent="0.3">
      <c r="A146" s="6" t="s">
        <v>43</v>
      </c>
      <c r="B146" s="2">
        <v>2019</v>
      </c>
      <c r="C146" s="7">
        <v>2972</v>
      </c>
      <c r="D146" s="7">
        <v>6</v>
      </c>
      <c r="E146" s="14">
        <f t="shared" si="12"/>
        <v>94.122244488977941</v>
      </c>
      <c r="F146" s="7">
        <v>65.894999999999996</v>
      </c>
      <c r="G146" s="7">
        <v>4.1900000000000004</v>
      </c>
      <c r="H146" s="13">
        <f t="shared" si="13"/>
        <v>58.769444444444431</v>
      </c>
      <c r="I146" s="7">
        <v>2.5499999999999998</v>
      </c>
      <c r="J146" s="7">
        <v>66.37</v>
      </c>
      <c r="K146" s="7">
        <v>82.5</v>
      </c>
      <c r="L146" s="13">
        <f t="shared" si="17"/>
        <v>58.811764705882354</v>
      </c>
      <c r="M146" s="7">
        <v>12.72</v>
      </c>
      <c r="N146" s="7">
        <v>9.92</v>
      </c>
      <c r="O146" s="13">
        <f t="shared" si="14"/>
        <v>68.742857142857147</v>
      </c>
      <c r="P146" s="7">
        <v>22.17</v>
      </c>
      <c r="Q146" s="12">
        <v>64418.52</v>
      </c>
      <c r="R146" s="11">
        <v>2.658093</v>
      </c>
      <c r="S146" s="13">
        <f t="shared" si="15"/>
        <v>52.536268569909616</v>
      </c>
      <c r="T146" s="17">
        <f t="shared" si="16"/>
        <v>65.162685566018055</v>
      </c>
    </row>
    <row r="147" spans="1:20" ht="16.5" thickBot="1" x14ac:dyDescent="0.3">
      <c r="A147" s="6" t="s">
        <v>43</v>
      </c>
      <c r="B147" s="2">
        <v>2020</v>
      </c>
      <c r="C147" s="7">
        <v>3162</v>
      </c>
      <c r="D147" s="7">
        <v>6</v>
      </c>
      <c r="E147" s="14">
        <f t="shared" si="12"/>
        <v>93.931863727454896</v>
      </c>
      <c r="F147" s="7">
        <v>66.05</v>
      </c>
      <c r="G147" s="7">
        <v>3.33</v>
      </c>
      <c r="H147" s="13">
        <f t="shared" si="13"/>
        <v>63.80555555555555</v>
      </c>
      <c r="I147" s="7">
        <v>3.94</v>
      </c>
      <c r="J147" s="7">
        <v>59.96</v>
      </c>
      <c r="K147" s="7">
        <v>85.56</v>
      </c>
      <c r="L147" s="13">
        <f t="shared" si="17"/>
        <v>67.604705882352931</v>
      </c>
      <c r="M147" s="7">
        <v>12.91</v>
      </c>
      <c r="N147" s="7">
        <v>10</v>
      </c>
      <c r="O147" s="13">
        <f t="shared" si="14"/>
        <v>70.264285714285705</v>
      </c>
      <c r="P147" s="7">
        <v>21.37</v>
      </c>
      <c r="Q147" s="12">
        <v>54487.7</v>
      </c>
      <c r="R147" s="11">
        <v>-0.76</v>
      </c>
      <c r="S147" s="13">
        <f t="shared" si="15"/>
        <v>48.531458975722131</v>
      </c>
      <c r="T147" s="17">
        <f t="shared" si="16"/>
        <v>67.310260128205357</v>
      </c>
    </row>
    <row r="148" spans="1:20" ht="16.5" thickBot="1" x14ac:dyDescent="0.3">
      <c r="A148" s="6" t="s">
        <v>44</v>
      </c>
      <c r="B148" s="2">
        <v>2015</v>
      </c>
      <c r="C148" s="7">
        <v>9595</v>
      </c>
      <c r="D148" s="7">
        <v>19</v>
      </c>
      <c r="E148" s="14">
        <f t="shared" si="12"/>
        <v>80.985971943887776</v>
      </c>
      <c r="F148" s="7">
        <v>70.930000000000007</v>
      </c>
      <c r="G148" s="7">
        <v>5.15</v>
      </c>
      <c r="H148" s="13">
        <f t="shared" si="13"/>
        <v>61.82777777777779</v>
      </c>
      <c r="I148" s="7">
        <v>2.62</v>
      </c>
      <c r="J148" s="7">
        <v>37.299999999999997</v>
      </c>
      <c r="K148" s="7">
        <v>88.96</v>
      </c>
      <c r="L148" s="13">
        <f t="shared" si="17"/>
        <v>52.185098039215681</v>
      </c>
      <c r="M148" s="7">
        <v>12.74</v>
      </c>
      <c r="N148" s="7">
        <v>8.89</v>
      </c>
      <c r="O148" s="13">
        <f t="shared" si="14"/>
        <v>61.485714285714302</v>
      </c>
      <c r="P148" s="7">
        <v>8.42</v>
      </c>
      <c r="Q148" s="12">
        <v>70769.78</v>
      </c>
      <c r="R148" s="11">
        <v>0.22437699999999999</v>
      </c>
      <c r="S148" s="13">
        <f t="shared" si="15"/>
        <v>56.477401747297542</v>
      </c>
      <c r="T148" s="17">
        <f t="shared" si="16"/>
        <v>61.881064248276125</v>
      </c>
    </row>
    <row r="149" spans="1:20" ht="16.5" thickBot="1" x14ac:dyDescent="0.3">
      <c r="A149" s="6" t="s">
        <v>44</v>
      </c>
      <c r="B149" s="2">
        <v>2016</v>
      </c>
      <c r="C149" s="7">
        <v>8520</v>
      </c>
      <c r="D149" s="7">
        <v>22</v>
      </c>
      <c r="E149" s="14">
        <f t="shared" si="12"/>
        <v>80.563126252505015</v>
      </c>
      <c r="F149" s="7">
        <v>70.97</v>
      </c>
      <c r="G149" s="7">
        <v>5.36</v>
      </c>
      <c r="H149" s="13">
        <f t="shared" si="13"/>
        <v>60.727777777777781</v>
      </c>
      <c r="I149" s="7">
        <v>2.59</v>
      </c>
      <c r="J149" s="7">
        <v>39.049999999999997</v>
      </c>
      <c r="K149" s="7">
        <v>92.29</v>
      </c>
      <c r="L149" s="13">
        <f t="shared" si="17"/>
        <v>54.891372549019614</v>
      </c>
      <c r="M149" s="7">
        <v>12.86</v>
      </c>
      <c r="N149" s="7">
        <v>8.9700000000000006</v>
      </c>
      <c r="O149" s="13">
        <f t="shared" si="14"/>
        <v>62.657142857142858</v>
      </c>
      <c r="P149" s="7">
        <v>7.98</v>
      </c>
      <c r="Q149" s="12">
        <v>70569.36</v>
      </c>
      <c r="R149" s="11">
        <v>2.177629</v>
      </c>
      <c r="S149" s="13">
        <f t="shared" si="15"/>
        <v>58.03724182527025</v>
      </c>
      <c r="T149" s="17">
        <f t="shared" si="16"/>
        <v>62.797308245589555</v>
      </c>
    </row>
    <row r="150" spans="1:20" ht="16.5" thickBot="1" x14ac:dyDescent="0.3">
      <c r="A150" s="6" t="s">
        <v>44</v>
      </c>
      <c r="B150" s="2">
        <v>2017</v>
      </c>
      <c r="C150" s="7">
        <v>6869</v>
      </c>
      <c r="D150" s="7">
        <v>24</v>
      </c>
      <c r="E150" s="14">
        <f t="shared" si="12"/>
        <v>81.217434869739478</v>
      </c>
      <c r="F150" s="7">
        <v>70.989999999999995</v>
      </c>
      <c r="G150" s="7">
        <v>6.25</v>
      </c>
      <c r="H150" s="13">
        <f t="shared" si="13"/>
        <v>55.816666666666656</v>
      </c>
      <c r="I150" s="7">
        <v>2.57</v>
      </c>
      <c r="J150" s="7">
        <v>43.1</v>
      </c>
      <c r="K150" s="7">
        <v>93.99</v>
      </c>
      <c r="L150" s="13">
        <f t="shared" si="17"/>
        <v>57.479607843137245</v>
      </c>
      <c r="M150" s="7">
        <v>13.03</v>
      </c>
      <c r="N150" s="7">
        <v>9.06</v>
      </c>
      <c r="O150" s="13">
        <f t="shared" si="14"/>
        <v>64.149999999999991</v>
      </c>
      <c r="P150" s="7">
        <v>7.78</v>
      </c>
      <c r="Q150" s="12">
        <v>70740.429999999993</v>
      </c>
      <c r="R150" s="11">
        <v>2.6623770000000002</v>
      </c>
      <c r="S150" s="13">
        <f t="shared" si="15"/>
        <v>58.493666765904663</v>
      </c>
      <c r="T150" s="17">
        <f t="shared" si="16"/>
        <v>62.812560002190445</v>
      </c>
    </row>
    <row r="151" spans="1:20" ht="16.5" thickBot="1" x14ac:dyDescent="0.3">
      <c r="A151" s="6" t="s">
        <v>44</v>
      </c>
      <c r="B151" s="2">
        <v>2018</v>
      </c>
      <c r="C151" s="7">
        <v>7246</v>
      </c>
      <c r="D151" s="7">
        <v>36</v>
      </c>
      <c r="E151" s="14">
        <f t="shared" si="12"/>
        <v>74.839679358717433</v>
      </c>
      <c r="F151" s="7">
        <v>71.19</v>
      </c>
      <c r="G151" s="7">
        <v>6.11</v>
      </c>
      <c r="H151" s="13">
        <f t="shared" si="13"/>
        <v>56.927777777777777</v>
      </c>
      <c r="I151" s="7">
        <v>2.54</v>
      </c>
      <c r="J151" s="7">
        <v>36.29</v>
      </c>
      <c r="K151" s="7">
        <v>93.41</v>
      </c>
      <c r="L151" s="13">
        <f t="shared" si="17"/>
        <v>54.222352941176467</v>
      </c>
      <c r="M151" s="7">
        <v>13.11</v>
      </c>
      <c r="N151" s="7">
        <v>9.11</v>
      </c>
      <c r="O151" s="13">
        <f t="shared" si="14"/>
        <v>64.907142857142858</v>
      </c>
      <c r="P151" s="7">
        <v>7.39</v>
      </c>
      <c r="Q151" s="12">
        <v>70736.77</v>
      </c>
      <c r="R151" s="11">
        <v>2.3527619999999998</v>
      </c>
      <c r="S151" s="13">
        <f t="shared" si="15"/>
        <v>58.39499334751018</v>
      </c>
      <c r="T151" s="17">
        <f t="shared" si="16"/>
        <v>61.44131793851745</v>
      </c>
    </row>
    <row r="152" spans="1:20" ht="16.5" thickBot="1" x14ac:dyDescent="0.3">
      <c r="A152" s="6" t="s">
        <v>44</v>
      </c>
      <c r="B152" s="2">
        <v>2019</v>
      </c>
      <c r="C152" s="7">
        <v>6570</v>
      </c>
      <c r="D152" s="7">
        <v>39</v>
      </c>
      <c r="E152" s="14">
        <f t="shared" si="12"/>
        <v>74.017034068136269</v>
      </c>
      <c r="F152" s="7">
        <v>71.525000000000006</v>
      </c>
      <c r="G152" s="7">
        <v>4.8600000000000003</v>
      </c>
      <c r="H152" s="13">
        <f t="shared" si="13"/>
        <v>64.430555555555571</v>
      </c>
      <c r="I152" s="7">
        <v>2.52</v>
      </c>
      <c r="J152" s="7">
        <v>60.71</v>
      </c>
      <c r="K152" s="7">
        <v>94.51</v>
      </c>
      <c r="L152" s="13">
        <f t="shared" si="17"/>
        <v>64.398823529411757</v>
      </c>
      <c r="M152" s="7">
        <v>13.14</v>
      </c>
      <c r="N152" s="7">
        <v>9.35</v>
      </c>
      <c r="O152" s="13">
        <f t="shared" si="14"/>
        <v>66.771428571428572</v>
      </c>
      <c r="P152" s="7">
        <v>7.08</v>
      </c>
      <c r="Q152" s="12">
        <v>72509.14</v>
      </c>
      <c r="R152" s="11">
        <v>2.8073969999999999</v>
      </c>
      <c r="S152" s="13">
        <f t="shared" si="15"/>
        <v>59.147079223817123</v>
      </c>
      <c r="T152" s="17">
        <f t="shared" si="16"/>
        <v>65.579045599668405</v>
      </c>
    </row>
    <row r="153" spans="1:20" ht="16.5" thickBot="1" x14ac:dyDescent="0.3">
      <c r="A153" s="6" t="s">
        <v>44</v>
      </c>
      <c r="B153" s="2">
        <v>2020</v>
      </c>
      <c r="C153" s="7">
        <v>8194</v>
      </c>
      <c r="D153" s="7">
        <v>37</v>
      </c>
      <c r="E153" s="14">
        <f t="shared" si="12"/>
        <v>73.389779559118224</v>
      </c>
      <c r="F153" s="7">
        <v>71.650000000000006</v>
      </c>
      <c r="G153" s="7">
        <v>4.63</v>
      </c>
      <c r="H153" s="13">
        <f t="shared" si="13"/>
        <v>65.916666666666686</v>
      </c>
      <c r="I153" s="7">
        <v>1.4</v>
      </c>
      <c r="J153" s="7">
        <v>65.17</v>
      </c>
      <c r="K153" s="7">
        <v>95.82</v>
      </c>
      <c r="L153" s="13">
        <f t="shared" si="17"/>
        <v>59.554509803921562</v>
      </c>
      <c r="M153" s="7">
        <v>13.2</v>
      </c>
      <c r="N153" s="7">
        <v>9.4700000000000006</v>
      </c>
      <c r="O153" s="13">
        <f t="shared" si="14"/>
        <v>67.928571428571431</v>
      </c>
      <c r="P153" s="7">
        <v>6.82</v>
      </c>
      <c r="Q153" s="12">
        <v>76882.94</v>
      </c>
      <c r="R153" s="11">
        <v>-1.1299999999999999</v>
      </c>
      <c r="S153" s="13">
        <f t="shared" si="15"/>
        <v>57.085364274322167</v>
      </c>
      <c r="T153" s="17">
        <f t="shared" si="16"/>
        <v>64.5096293490286</v>
      </c>
    </row>
    <row r="154" spans="1:20" ht="16.5" thickBot="1" x14ac:dyDescent="0.3">
      <c r="A154" s="6" t="s">
        <v>45</v>
      </c>
      <c r="B154" s="2">
        <v>2015</v>
      </c>
      <c r="C154" s="7">
        <v>1369</v>
      </c>
      <c r="D154" s="7">
        <v>6</v>
      </c>
      <c r="E154" s="14">
        <f t="shared" si="12"/>
        <v>95.728456913827657</v>
      </c>
      <c r="F154" s="7">
        <v>64.22</v>
      </c>
      <c r="G154" s="7">
        <v>7.16</v>
      </c>
      <c r="H154" s="13">
        <f t="shared" si="13"/>
        <v>39.477777777777781</v>
      </c>
      <c r="I154" s="7">
        <v>1.94</v>
      </c>
      <c r="J154" s="7">
        <v>53.97</v>
      </c>
      <c r="K154" s="7">
        <v>73.97</v>
      </c>
      <c r="L154" s="13">
        <f t="shared" si="17"/>
        <v>44.195686274509804</v>
      </c>
      <c r="M154" s="7">
        <v>12.22</v>
      </c>
      <c r="N154" s="7">
        <v>7.49</v>
      </c>
      <c r="O154" s="13">
        <f t="shared" si="14"/>
        <v>48.885714285714293</v>
      </c>
      <c r="P154" s="7">
        <v>12.4</v>
      </c>
      <c r="Q154" s="12">
        <v>20250.509999999998</v>
      </c>
      <c r="R154" s="11">
        <v>7.3103220000000002</v>
      </c>
      <c r="S154" s="13">
        <f t="shared" si="15"/>
        <v>51.523152730816946</v>
      </c>
      <c r="T154" s="17">
        <f t="shared" si="16"/>
        <v>53.062976401183413</v>
      </c>
    </row>
    <row r="155" spans="1:20" ht="16.5" thickBot="1" x14ac:dyDescent="0.3">
      <c r="A155" s="6" t="s">
        <v>45</v>
      </c>
      <c r="B155" s="2">
        <v>2016</v>
      </c>
      <c r="C155" s="7">
        <v>1282</v>
      </c>
      <c r="D155" s="7">
        <v>4</v>
      </c>
      <c r="E155" s="14">
        <f t="shared" si="12"/>
        <v>96.815631262525045</v>
      </c>
      <c r="F155" s="7">
        <v>64.31</v>
      </c>
      <c r="G155" s="7">
        <v>6.2</v>
      </c>
      <c r="H155" s="13">
        <f t="shared" si="13"/>
        <v>44.961111111111116</v>
      </c>
      <c r="I155" s="7">
        <v>1.93</v>
      </c>
      <c r="J155" s="7">
        <v>53.82</v>
      </c>
      <c r="K155" s="7">
        <v>80.17</v>
      </c>
      <c r="L155" s="13">
        <f t="shared" si="17"/>
        <v>48.203529411764706</v>
      </c>
      <c r="M155" s="7">
        <v>12.34</v>
      </c>
      <c r="N155" s="7">
        <v>7.76</v>
      </c>
      <c r="O155" s="13">
        <f t="shared" si="14"/>
        <v>51.414285714285711</v>
      </c>
      <c r="P155" s="7">
        <v>11.74</v>
      </c>
      <c r="Q155" s="12">
        <v>21067.91</v>
      </c>
      <c r="R155" s="11">
        <v>6.0095289999999997</v>
      </c>
      <c r="S155" s="13">
        <f t="shared" si="15"/>
        <v>50.925228091440722</v>
      </c>
      <c r="T155" s="17">
        <f t="shared" si="16"/>
        <v>55.972619066680181</v>
      </c>
    </row>
    <row r="156" spans="1:20" ht="16.5" thickBot="1" x14ac:dyDescent="0.3">
      <c r="A156" s="6" t="s">
        <v>45</v>
      </c>
      <c r="B156" s="2">
        <v>2017</v>
      </c>
      <c r="C156" s="7">
        <v>1841</v>
      </c>
      <c r="D156" s="7">
        <v>21</v>
      </c>
      <c r="E156" s="14">
        <f t="shared" si="12"/>
        <v>87.755511022044089</v>
      </c>
      <c r="F156" s="7">
        <v>64.34</v>
      </c>
      <c r="G156" s="7">
        <v>6.78</v>
      </c>
      <c r="H156" s="13">
        <f t="shared" si="13"/>
        <v>41.788888888888891</v>
      </c>
      <c r="I156" s="7">
        <v>1.93</v>
      </c>
      <c r="J156" s="7">
        <v>67.33</v>
      </c>
      <c r="K156" s="7">
        <v>83.27</v>
      </c>
      <c r="L156" s="13">
        <f t="shared" si="17"/>
        <v>55.568235294117642</v>
      </c>
      <c r="M156" s="7">
        <v>12.48</v>
      </c>
      <c r="N156" s="7">
        <v>7.84</v>
      </c>
      <c r="O156" s="13">
        <f t="shared" si="14"/>
        <v>52.68571428571429</v>
      </c>
      <c r="P156" s="7">
        <v>11.3</v>
      </c>
      <c r="Q156" s="12">
        <v>22001.01</v>
      </c>
      <c r="R156" s="11">
        <v>6.3859570000000003</v>
      </c>
      <c r="S156" s="13">
        <f t="shared" si="15"/>
        <v>51.515913549530389</v>
      </c>
      <c r="T156" s="17">
        <f t="shared" si="16"/>
        <v>56.047884023068654</v>
      </c>
    </row>
    <row r="157" spans="1:20" ht="16.5" thickBot="1" x14ac:dyDescent="0.3">
      <c r="A157" s="6" t="s">
        <v>45</v>
      </c>
      <c r="B157" s="2">
        <v>2018</v>
      </c>
      <c r="C157" s="7">
        <v>1817</v>
      </c>
      <c r="D157" s="7">
        <v>13</v>
      </c>
      <c r="E157" s="14">
        <f t="shared" si="12"/>
        <v>91.779559118236477</v>
      </c>
      <c r="F157" s="7">
        <v>64.58</v>
      </c>
      <c r="G157" s="7">
        <v>5.93</v>
      </c>
      <c r="H157" s="13">
        <f t="shared" si="13"/>
        <v>46.911111111111111</v>
      </c>
      <c r="I157" s="7">
        <v>1.92</v>
      </c>
      <c r="J157" s="7">
        <v>61.77</v>
      </c>
      <c r="K157" s="7">
        <v>89.18</v>
      </c>
      <c r="L157" s="13">
        <f t="shared" si="17"/>
        <v>57.261176470588239</v>
      </c>
      <c r="M157" s="7">
        <v>12.59</v>
      </c>
      <c r="N157" s="7">
        <v>7.94</v>
      </c>
      <c r="O157" s="13">
        <f t="shared" si="14"/>
        <v>53.95000000000001</v>
      </c>
      <c r="P157" s="7">
        <v>11.25</v>
      </c>
      <c r="Q157" s="12">
        <v>22953.08</v>
      </c>
      <c r="R157" s="11">
        <v>6.2551030000000001</v>
      </c>
      <c r="S157" s="13">
        <f t="shared" si="15"/>
        <v>51.60284950203792</v>
      </c>
      <c r="T157" s="17">
        <f t="shared" si="16"/>
        <v>58.520687189679222</v>
      </c>
    </row>
    <row r="158" spans="1:20" ht="16.5" thickBot="1" x14ac:dyDescent="0.3">
      <c r="A158" s="6" t="s">
        <v>45</v>
      </c>
      <c r="B158" s="2">
        <v>2019</v>
      </c>
      <c r="C158" s="7">
        <v>1863</v>
      </c>
      <c r="D158" s="7">
        <v>16</v>
      </c>
      <c r="E158" s="14">
        <f t="shared" si="12"/>
        <v>90.233466933867732</v>
      </c>
      <c r="F158" s="7">
        <v>64.87</v>
      </c>
      <c r="G158" s="7">
        <v>6.36</v>
      </c>
      <c r="H158" s="13">
        <f t="shared" si="13"/>
        <v>45.00555555555556</v>
      </c>
      <c r="I158" s="7">
        <v>1.91</v>
      </c>
      <c r="J158" s="7">
        <v>72.819999999999993</v>
      </c>
      <c r="K158" s="7">
        <v>91.81</v>
      </c>
      <c r="L158" s="13">
        <f t="shared" si="17"/>
        <v>63.281176470588228</v>
      </c>
      <c r="M158" s="7">
        <v>12.62</v>
      </c>
      <c r="N158" s="7">
        <v>8.2200000000000006</v>
      </c>
      <c r="O158" s="13">
        <f t="shared" si="14"/>
        <v>56.099999999999994</v>
      </c>
      <c r="P158" s="7">
        <v>11.02</v>
      </c>
      <c r="Q158" s="12">
        <v>24163.56</v>
      </c>
      <c r="R158" s="11">
        <v>5.668291</v>
      </c>
      <c r="S158" s="13">
        <f t="shared" si="15"/>
        <v>51.457979936204147</v>
      </c>
      <c r="T158" s="17">
        <f t="shared" si="16"/>
        <v>59.438081353323952</v>
      </c>
    </row>
    <row r="159" spans="1:20" ht="16.5" thickBot="1" x14ac:dyDescent="0.3">
      <c r="A159" s="6" t="s">
        <v>45</v>
      </c>
      <c r="B159" s="2">
        <v>2020</v>
      </c>
      <c r="C159" s="7">
        <v>1704</v>
      </c>
      <c r="D159" s="7">
        <v>15</v>
      </c>
      <c r="E159" s="14">
        <f t="shared" si="12"/>
        <v>90.892785571142284</v>
      </c>
      <c r="F159" s="7">
        <v>65.11</v>
      </c>
      <c r="G159" s="7">
        <v>6.84</v>
      </c>
      <c r="H159" s="13">
        <f t="shared" si="13"/>
        <v>42.738888888888887</v>
      </c>
      <c r="I159" s="7">
        <v>1.98</v>
      </c>
      <c r="J159" s="7">
        <v>71.540000000000006</v>
      </c>
      <c r="K159" s="7">
        <v>91.3</v>
      </c>
      <c r="L159" s="13">
        <f t="shared" si="17"/>
        <v>62.905882352941177</v>
      </c>
      <c r="M159" s="7">
        <v>12.77</v>
      </c>
      <c r="N159" s="7">
        <v>8.33</v>
      </c>
      <c r="O159" s="13">
        <f t="shared" si="14"/>
        <v>57.635714285714279</v>
      </c>
      <c r="P159" s="7">
        <v>10.87</v>
      </c>
      <c r="Q159" s="12">
        <v>22652.43</v>
      </c>
      <c r="R159" s="11">
        <v>-2.4</v>
      </c>
      <c r="S159" s="13">
        <f t="shared" si="15"/>
        <v>45.266862608541558</v>
      </c>
      <c r="T159" s="17">
        <f t="shared" si="16"/>
        <v>57.663791519374591</v>
      </c>
    </row>
    <row r="160" spans="1:20" ht="16.5" thickBot="1" x14ac:dyDescent="0.3">
      <c r="A160" s="6" t="s">
        <v>46</v>
      </c>
      <c r="B160" s="2">
        <v>2015</v>
      </c>
      <c r="C160" s="7">
        <v>16088</v>
      </c>
      <c r="D160" s="7">
        <v>36</v>
      </c>
      <c r="E160" s="14">
        <f t="shared" si="12"/>
        <v>65.979959919839686</v>
      </c>
      <c r="F160" s="7">
        <v>69.8</v>
      </c>
      <c r="G160" s="7">
        <v>5.15</v>
      </c>
      <c r="H160" s="13">
        <f t="shared" si="13"/>
        <v>59.944444444444443</v>
      </c>
      <c r="I160" s="7">
        <v>1.1200000000000001</v>
      </c>
      <c r="J160" s="7">
        <v>53.31</v>
      </c>
      <c r="K160" s="7">
        <v>91.14</v>
      </c>
      <c r="L160" s="13">
        <f t="shared" si="17"/>
        <v>49.916862745098037</v>
      </c>
      <c r="M160" s="7">
        <v>12.99</v>
      </c>
      <c r="N160" s="7">
        <v>8.1999999999999993</v>
      </c>
      <c r="O160" s="13">
        <f t="shared" si="14"/>
        <v>57.807142857142857</v>
      </c>
      <c r="P160" s="7">
        <v>9.39</v>
      </c>
      <c r="Q160" s="12">
        <v>29435.919999999998</v>
      </c>
      <c r="R160" s="11">
        <v>7.1862389999999996</v>
      </c>
      <c r="S160" s="13">
        <f t="shared" si="15"/>
        <v>54.056182849548108</v>
      </c>
      <c r="T160" s="17">
        <f t="shared" si="16"/>
        <v>57.285806247775142</v>
      </c>
    </row>
    <row r="161" spans="1:20" ht="16.5" thickBot="1" x14ac:dyDescent="0.3">
      <c r="A161" s="6" t="s">
        <v>46</v>
      </c>
      <c r="B161" s="2">
        <v>2016</v>
      </c>
      <c r="C161" s="7">
        <v>15071</v>
      </c>
      <c r="D161" s="7">
        <v>25</v>
      </c>
      <c r="E161" s="14">
        <f t="shared" si="12"/>
        <v>72.498997995991985</v>
      </c>
      <c r="F161" s="7">
        <v>69.819999999999993</v>
      </c>
      <c r="G161" s="7">
        <v>4.53</v>
      </c>
      <c r="H161" s="13">
        <f t="shared" si="13"/>
        <v>63.422222222222203</v>
      </c>
      <c r="I161" s="7">
        <v>1.1000000000000001</v>
      </c>
      <c r="J161" s="7">
        <v>57.11</v>
      </c>
      <c r="K161" s="7">
        <v>93.53</v>
      </c>
      <c r="L161" s="13">
        <f t="shared" si="17"/>
        <v>52.867058823529412</v>
      </c>
      <c r="M161" s="7">
        <v>13.16</v>
      </c>
      <c r="N161" s="7">
        <v>8.31</v>
      </c>
      <c r="O161" s="13">
        <f t="shared" si="14"/>
        <v>59.442857142857143</v>
      </c>
      <c r="P161" s="7">
        <v>9.4</v>
      </c>
      <c r="Q161" s="12">
        <v>31302.53</v>
      </c>
      <c r="R161" s="11">
        <v>7.4155100000000003</v>
      </c>
      <c r="S161" s="13">
        <f t="shared" si="15"/>
        <v>54.550121655147962</v>
      </c>
      <c r="T161" s="17">
        <f t="shared" si="16"/>
        <v>60.163182533737263</v>
      </c>
    </row>
    <row r="162" spans="1:20" ht="16.5" thickBot="1" x14ac:dyDescent="0.3">
      <c r="A162" s="6" t="s">
        <v>46</v>
      </c>
      <c r="B162" s="2">
        <v>2017</v>
      </c>
      <c r="C162" s="7">
        <v>21616</v>
      </c>
      <c r="D162" s="7">
        <v>27</v>
      </c>
      <c r="E162" s="14">
        <f t="shared" si="12"/>
        <v>64.940881763527059</v>
      </c>
      <c r="F162" s="7">
        <v>69.84</v>
      </c>
      <c r="G162" s="7">
        <v>5.51</v>
      </c>
      <c r="H162" s="13">
        <f t="shared" si="13"/>
        <v>58.011111111111127</v>
      </c>
      <c r="I162" s="7">
        <v>1.08</v>
      </c>
      <c r="J162" s="7">
        <v>61.09</v>
      </c>
      <c r="K162" s="7">
        <v>95.31</v>
      </c>
      <c r="L162" s="13">
        <f t="shared" si="17"/>
        <v>55.481176470588245</v>
      </c>
      <c r="M162" s="7">
        <v>13.28</v>
      </c>
      <c r="N162" s="7">
        <v>8.42</v>
      </c>
      <c r="O162" s="13">
        <f t="shared" si="14"/>
        <v>60.828571428571429</v>
      </c>
      <c r="P162" s="7">
        <v>9.3800000000000008</v>
      </c>
      <c r="Q162" s="12">
        <v>33234.11</v>
      </c>
      <c r="R162" s="11">
        <v>7.2059259999999998</v>
      </c>
      <c r="S162" s="13">
        <f t="shared" si="15"/>
        <v>54.740481938685093</v>
      </c>
      <c r="T162" s="17">
        <f t="shared" si="16"/>
        <v>58.683803210023768</v>
      </c>
    </row>
    <row r="163" spans="1:20" ht="16.5" thickBot="1" x14ac:dyDescent="0.3">
      <c r="A163" s="6" t="s">
        <v>46</v>
      </c>
      <c r="B163" s="2">
        <v>2018</v>
      </c>
      <c r="C163" s="7">
        <v>21498</v>
      </c>
      <c r="D163" s="7">
        <v>26</v>
      </c>
      <c r="E163" s="14">
        <f t="shared" si="12"/>
        <v>65.559118236472941</v>
      </c>
      <c r="F163" s="7">
        <v>70.08</v>
      </c>
      <c r="G163" s="7">
        <v>5.49</v>
      </c>
      <c r="H163" s="13">
        <f t="shared" si="13"/>
        <v>58.522222222222211</v>
      </c>
      <c r="I163" s="7">
        <v>1.06</v>
      </c>
      <c r="J163" s="7">
        <v>52.18</v>
      </c>
      <c r="K163" s="7">
        <v>95.81</v>
      </c>
      <c r="L163" s="13">
        <f t="shared" si="17"/>
        <v>52.187058823529412</v>
      </c>
      <c r="M163" s="7">
        <v>13.34</v>
      </c>
      <c r="N163" s="7">
        <v>8.4499999999999993</v>
      </c>
      <c r="O163" s="13">
        <f t="shared" si="14"/>
        <v>61.342857142857142</v>
      </c>
      <c r="P163" s="7">
        <v>9.06</v>
      </c>
      <c r="Q163" s="12">
        <v>35243.64</v>
      </c>
      <c r="R163" s="11">
        <v>7.0432899999999998</v>
      </c>
      <c r="S163" s="13">
        <f t="shared" si="15"/>
        <v>55.080304058125108</v>
      </c>
      <c r="T163" s="17">
        <f t="shared" si="16"/>
        <v>58.351955212727688</v>
      </c>
    </row>
    <row r="164" spans="1:20" ht="16.5" thickBot="1" x14ac:dyDescent="0.3">
      <c r="A164" s="6" t="s">
        <v>46</v>
      </c>
      <c r="B164" s="2">
        <v>2019</v>
      </c>
      <c r="C164" s="7">
        <v>16008</v>
      </c>
      <c r="D164" s="7">
        <v>30</v>
      </c>
      <c r="E164" s="14">
        <f t="shared" si="12"/>
        <v>69.060120240480956</v>
      </c>
      <c r="F164" s="7">
        <v>70.48</v>
      </c>
      <c r="G164" s="7">
        <v>5.8</v>
      </c>
      <c r="H164" s="13">
        <f t="shared" si="13"/>
        <v>57.466666666666669</v>
      </c>
      <c r="I164" s="7">
        <v>1.05</v>
      </c>
      <c r="J164" s="7">
        <v>70.52</v>
      </c>
      <c r="K164" s="7">
        <v>97.21</v>
      </c>
      <c r="L164" s="13">
        <f t="shared" si="17"/>
        <v>60.245882352941173</v>
      </c>
      <c r="M164" s="7">
        <v>13.36</v>
      </c>
      <c r="N164" s="7">
        <v>8.73</v>
      </c>
      <c r="O164" s="13">
        <f t="shared" si="14"/>
        <v>63.442857142857143</v>
      </c>
      <c r="P164" s="7">
        <v>8.69</v>
      </c>
      <c r="Q164" s="12">
        <v>37474.29</v>
      </c>
      <c r="R164" s="11">
        <v>6.9059559999999998</v>
      </c>
      <c r="S164" s="13">
        <f t="shared" si="15"/>
        <v>55.4944963990785</v>
      </c>
      <c r="T164" s="17">
        <f t="shared" si="16"/>
        <v>60.959398183594701</v>
      </c>
    </row>
    <row r="165" spans="1:20" ht="16.5" thickBot="1" x14ac:dyDescent="0.3">
      <c r="A165" s="6" t="s">
        <v>46</v>
      </c>
      <c r="B165" s="2">
        <v>2020</v>
      </c>
      <c r="C165" s="7">
        <v>12815</v>
      </c>
      <c r="D165" s="7">
        <v>31</v>
      </c>
      <c r="E165" s="14">
        <f t="shared" si="12"/>
        <v>71.759519038076149</v>
      </c>
      <c r="F165" s="7">
        <v>70.62</v>
      </c>
      <c r="G165" s="7">
        <v>5.66</v>
      </c>
      <c r="H165" s="13">
        <f t="shared" si="13"/>
        <v>58.477777777777781</v>
      </c>
      <c r="I165" s="7">
        <v>1.18</v>
      </c>
      <c r="J165" s="7">
        <v>76.209999999999994</v>
      </c>
      <c r="K165" s="7">
        <v>97.65</v>
      </c>
      <c r="L165" s="13">
        <f t="shared" si="17"/>
        <v>63.63725490196078</v>
      </c>
      <c r="M165" s="7">
        <v>13.45</v>
      </c>
      <c r="N165" s="7">
        <v>8.86</v>
      </c>
      <c r="O165" s="13">
        <f t="shared" si="14"/>
        <v>64.821428571428569</v>
      </c>
      <c r="P165" s="7">
        <v>8.7200000000000006</v>
      </c>
      <c r="Q165" s="12">
        <v>36246.26</v>
      </c>
      <c r="R165" s="11">
        <v>-0.71</v>
      </c>
      <c r="S165" s="13">
        <f t="shared" si="15"/>
        <v>49.627502640439474</v>
      </c>
      <c r="T165" s="17">
        <f t="shared" si="16"/>
        <v>61.207489573757307</v>
      </c>
    </row>
    <row r="166" spans="1:20" ht="16.5" thickBot="1" x14ac:dyDescent="0.3">
      <c r="A166" s="6" t="s">
        <v>47</v>
      </c>
      <c r="B166" s="2">
        <v>2015</v>
      </c>
      <c r="C166" s="7">
        <v>8988</v>
      </c>
      <c r="D166" s="7">
        <v>17</v>
      </c>
      <c r="E166" s="14">
        <f t="shared" si="12"/>
        <v>82.594188376753493</v>
      </c>
      <c r="F166" s="7">
        <v>67.260000000000005</v>
      </c>
      <c r="G166" s="7">
        <v>7.85</v>
      </c>
      <c r="H166" s="13">
        <f t="shared" si="13"/>
        <v>40.711111111111123</v>
      </c>
      <c r="I166" s="7">
        <v>1.69</v>
      </c>
      <c r="J166" s="7">
        <v>42.76</v>
      </c>
      <c r="K166" s="7">
        <v>80.989999999999995</v>
      </c>
      <c r="L166" s="13">
        <f t="shared" si="17"/>
        <v>42.812941176470581</v>
      </c>
      <c r="M166" s="7">
        <v>12.72</v>
      </c>
      <c r="N166" s="7">
        <v>8.35</v>
      </c>
      <c r="O166" s="13">
        <f t="shared" si="14"/>
        <v>57.528571428571432</v>
      </c>
      <c r="P166" s="7">
        <v>14.66</v>
      </c>
      <c r="Q166" s="12">
        <v>28778.639999999999</v>
      </c>
      <c r="R166" s="11">
        <v>15.49952</v>
      </c>
      <c r="S166" s="13">
        <f t="shared" si="15"/>
        <v>58.32444572036151</v>
      </c>
      <c r="T166" s="17">
        <f t="shared" si="16"/>
        <v>54.549948370374345</v>
      </c>
    </row>
    <row r="167" spans="1:20" ht="16.5" thickBot="1" x14ac:dyDescent="0.3">
      <c r="A167" s="6" t="s">
        <v>47</v>
      </c>
      <c r="B167" s="2">
        <v>2016</v>
      </c>
      <c r="C167" s="7">
        <v>9602</v>
      </c>
      <c r="D167" s="7">
        <v>34</v>
      </c>
      <c r="E167" s="14">
        <f t="shared" si="12"/>
        <v>73.478957915831657</v>
      </c>
      <c r="F167" s="7">
        <v>67.31</v>
      </c>
      <c r="G167" s="7">
        <v>7.06</v>
      </c>
      <c r="H167" s="13">
        <f t="shared" si="13"/>
        <v>45.183333333333337</v>
      </c>
      <c r="I167" s="7">
        <v>1.67</v>
      </c>
      <c r="J167" s="7">
        <v>46.24</v>
      </c>
      <c r="K167" s="7">
        <v>81.39</v>
      </c>
      <c r="L167" s="13">
        <f t="shared" si="17"/>
        <v>44.310980392156864</v>
      </c>
      <c r="M167" s="7">
        <v>12.92</v>
      </c>
      <c r="N167" s="7">
        <v>8.56</v>
      </c>
      <c r="O167" s="13">
        <f t="shared" si="14"/>
        <v>60.028571428571432</v>
      </c>
      <c r="P167" s="7">
        <v>14.45</v>
      </c>
      <c r="Q167" s="12">
        <v>31151.08</v>
      </c>
      <c r="R167" s="11">
        <v>9.9379609999999996</v>
      </c>
      <c r="S167" s="13">
        <f t="shared" si="15"/>
        <v>54.691697001594896</v>
      </c>
      <c r="T167" s="17">
        <f t="shared" si="16"/>
        <v>54.548951130035604</v>
      </c>
    </row>
    <row r="168" spans="1:20" ht="16.5" thickBot="1" x14ac:dyDescent="0.3">
      <c r="A168" s="6" t="s">
        <v>47</v>
      </c>
      <c r="B168" s="2">
        <v>2017</v>
      </c>
      <c r="C168" s="7">
        <v>10240</v>
      </c>
      <c r="D168" s="7">
        <v>30</v>
      </c>
      <c r="E168" s="14">
        <f t="shared" si="12"/>
        <v>74.839679358717433</v>
      </c>
      <c r="F168" s="7">
        <v>67.319999999999993</v>
      </c>
      <c r="G168" s="7">
        <v>9.32</v>
      </c>
      <c r="H168" s="13">
        <f t="shared" si="13"/>
        <v>32.644444444444431</v>
      </c>
      <c r="I168" s="7">
        <v>1.65</v>
      </c>
      <c r="J168" s="7">
        <v>52.27</v>
      </c>
      <c r="K168" s="7">
        <v>87.96</v>
      </c>
      <c r="L168" s="13">
        <f t="shared" si="17"/>
        <v>50.922352941176463</v>
      </c>
      <c r="M168" s="7">
        <v>13.04</v>
      </c>
      <c r="N168" s="7">
        <v>8.64</v>
      </c>
      <c r="O168" s="13">
        <f t="shared" si="14"/>
        <v>61.20000000000001</v>
      </c>
      <c r="P168" s="7">
        <v>14.14</v>
      </c>
      <c r="Q168" s="12">
        <v>32860.480000000003</v>
      </c>
      <c r="R168" s="11">
        <v>7.0980949999999998</v>
      </c>
      <c r="S168" s="13">
        <f t="shared" si="15"/>
        <v>52.992364398369659</v>
      </c>
      <c r="T168" s="17">
        <f t="shared" si="16"/>
        <v>52.621457923871326</v>
      </c>
    </row>
    <row r="169" spans="1:20" ht="16.5" thickBot="1" x14ac:dyDescent="0.3">
      <c r="A169" s="6" t="s">
        <v>47</v>
      </c>
      <c r="B169" s="2">
        <v>2018</v>
      </c>
      <c r="C169" s="7">
        <v>9379</v>
      </c>
      <c r="D169" s="7">
        <v>33</v>
      </c>
      <c r="E169" s="14">
        <f t="shared" si="12"/>
        <v>74.202404809619239</v>
      </c>
      <c r="F169" s="7">
        <v>67.78</v>
      </c>
      <c r="G169" s="7">
        <v>8.57</v>
      </c>
      <c r="H169" s="13">
        <f t="shared" si="13"/>
        <v>37.577777777777776</v>
      </c>
      <c r="I169" s="7">
        <v>1.63</v>
      </c>
      <c r="J169" s="7">
        <v>41.91</v>
      </c>
      <c r="K169" s="7">
        <v>87.64</v>
      </c>
      <c r="L169" s="13">
        <f t="shared" si="17"/>
        <v>46.512941176470584</v>
      </c>
      <c r="M169" s="7">
        <v>13.13</v>
      </c>
      <c r="N169" s="7">
        <v>8.74</v>
      </c>
      <c r="O169" s="13">
        <f t="shared" si="14"/>
        <v>62.364285714285714</v>
      </c>
      <c r="P169" s="7">
        <v>14.01</v>
      </c>
      <c r="Q169" s="12">
        <v>39049.35</v>
      </c>
      <c r="R169" s="11">
        <v>20.601179999999999</v>
      </c>
      <c r="S169" s="13">
        <f t="shared" si="15"/>
        <v>64.124187293992563</v>
      </c>
      <c r="T169" s="17">
        <f t="shared" si="16"/>
        <v>55.331970996356162</v>
      </c>
    </row>
    <row r="170" spans="1:20" ht="16.5" thickBot="1" x14ac:dyDescent="0.3">
      <c r="A170" s="6" t="s">
        <v>47</v>
      </c>
      <c r="B170" s="2">
        <v>2019</v>
      </c>
      <c r="C170" s="7">
        <v>6265</v>
      </c>
      <c r="D170" s="7">
        <v>58</v>
      </c>
      <c r="E170" s="14">
        <f t="shared" si="12"/>
        <v>64.822645290581164</v>
      </c>
      <c r="F170" s="7">
        <v>68.290000000000006</v>
      </c>
      <c r="G170" s="7">
        <v>8.67</v>
      </c>
      <c r="H170" s="13">
        <f t="shared" si="13"/>
        <v>37.872222222222234</v>
      </c>
      <c r="I170" s="7">
        <v>1.61</v>
      </c>
      <c r="J170" s="7">
        <v>57.29</v>
      </c>
      <c r="K170" s="7">
        <v>92.38</v>
      </c>
      <c r="L170" s="13">
        <f t="shared" si="17"/>
        <v>55.570980392156855</v>
      </c>
      <c r="M170" s="7">
        <v>13.14</v>
      </c>
      <c r="N170" s="7">
        <v>8.98</v>
      </c>
      <c r="O170" s="13">
        <f t="shared" si="14"/>
        <v>64.128571428571433</v>
      </c>
      <c r="P170" s="7">
        <v>13.48</v>
      </c>
      <c r="Q170" s="12">
        <v>42054.5</v>
      </c>
      <c r="R170" s="11">
        <v>8.8291920000000008</v>
      </c>
      <c r="S170" s="13">
        <f t="shared" si="15"/>
        <v>56.10986665957823</v>
      </c>
      <c r="T170" s="17">
        <f t="shared" si="16"/>
        <v>54.726450338849617</v>
      </c>
    </row>
    <row r="171" spans="1:20" ht="16.5" thickBot="1" x14ac:dyDescent="0.3">
      <c r="A171" s="6" t="s">
        <v>47</v>
      </c>
      <c r="B171" s="2">
        <v>2020</v>
      </c>
      <c r="C171" s="7">
        <v>5454</v>
      </c>
      <c r="D171" s="7">
        <v>36</v>
      </c>
      <c r="E171" s="14">
        <f t="shared" si="12"/>
        <v>76.635270541082164</v>
      </c>
      <c r="F171" s="7">
        <v>68.745000000000005</v>
      </c>
      <c r="G171" s="7">
        <v>7.52</v>
      </c>
      <c r="H171" s="13">
        <f t="shared" si="13"/>
        <v>45.019444444444453</v>
      </c>
      <c r="I171" s="7">
        <v>1.22</v>
      </c>
      <c r="J171" s="7">
        <v>61.97</v>
      </c>
      <c r="K171" s="7">
        <v>93.75</v>
      </c>
      <c r="L171" s="13">
        <f t="shared" si="17"/>
        <v>55.719607843137254</v>
      </c>
      <c r="M171" s="7">
        <v>13.17</v>
      </c>
      <c r="N171" s="7">
        <v>9.09</v>
      </c>
      <c r="O171" s="13">
        <f t="shared" si="14"/>
        <v>65.064285714285703</v>
      </c>
      <c r="P171" s="7">
        <v>12.92</v>
      </c>
      <c r="Q171" s="12">
        <v>45052.32</v>
      </c>
      <c r="R171" s="11">
        <v>4.8600000000000003</v>
      </c>
      <c r="S171" s="13">
        <f t="shared" si="15"/>
        <v>53.884209959241538</v>
      </c>
      <c r="T171" s="17">
        <f t="shared" si="16"/>
        <v>58.308009075209618</v>
      </c>
    </row>
    <row r="172" spans="1:20" ht="16.5" thickBot="1" x14ac:dyDescent="0.3">
      <c r="A172" s="6" t="s">
        <v>48</v>
      </c>
      <c r="B172" s="2">
        <v>2015</v>
      </c>
      <c r="C172" s="7">
        <v>3655</v>
      </c>
      <c r="D172" s="7">
        <v>7</v>
      </c>
      <c r="E172" s="14">
        <f t="shared" si="12"/>
        <v>92.937875751503014</v>
      </c>
      <c r="F172" s="7">
        <v>70.44</v>
      </c>
      <c r="G172" s="7">
        <v>8.2100000000000009</v>
      </c>
      <c r="H172" s="13">
        <f t="shared" si="13"/>
        <v>44.011111111111099</v>
      </c>
      <c r="I172" s="7">
        <v>2.1800000000000002</v>
      </c>
      <c r="J172" s="7">
        <v>45.84</v>
      </c>
      <c r="K172" s="7">
        <v>78.5</v>
      </c>
      <c r="L172" s="13">
        <f t="shared" si="17"/>
        <v>45.627450980392162</v>
      </c>
      <c r="M172" s="7">
        <v>13.07</v>
      </c>
      <c r="N172" s="7">
        <v>8.74</v>
      </c>
      <c r="O172" s="13">
        <f t="shared" si="14"/>
        <v>62.064285714285731</v>
      </c>
      <c r="P172" s="7">
        <v>12.9</v>
      </c>
      <c r="Q172" s="12">
        <v>29202.7</v>
      </c>
      <c r="R172" s="11">
        <v>6.8845039999999997</v>
      </c>
      <c r="S172" s="13">
        <f t="shared" si="15"/>
        <v>52.609941470848845</v>
      </c>
      <c r="T172" s="17">
        <f t="shared" si="16"/>
        <v>57.144991495131528</v>
      </c>
    </row>
    <row r="173" spans="1:20" ht="16.5" thickBot="1" x14ac:dyDescent="0.3">
      <c r="A173" s="6" t="s">
        <v>48</v>
      </c>
      <c r="B173" s="2">
        <v>2016</v>
      </c>
      <c r="C173" s="7">
        <v>3756</v>
      </c>
      <c r="D173" s="7">
        <v>14</v>
      </c>
      <c r="E173" s="14">
        <f t="shared" si="12"/>
        <v>89.336673346693388</v>
      </c>
      <c r="F173" s="7">
        <v>70.459999999999994</v>
      </c>
      <c r="G173" s="7">
        <v>7.89</v>
      </c>
      <c r="H173" s="13">
        <f t="shared" si="13"/>
        <v>45.822222222222216</v>
      </c>
      <c r="I173" s="7">
        <v>2.16</v>
      </c>
      <c r="J173" s="7">
        <v>54.48</v>
      </c>
      <c r="K173" s="7">
        <v>86.5</v>
      </c>
      <c r="L173" s="13">
        <f t="shared" si="17"/>
        <v>54.2156862745098</v>
      </c>
      <c r="M173" s="7">
        <v>13.24</v>
      </c>
      <c r="N173" s="7">
        <v>8.86</v>
      </c>
      <c r="O173" s="13">
        <f t="shared" si="14"/>
        <v>63.771428571428565</v>
      </c>
      <c r="P173" s="7">
        <v>12.88</v>
      </c>
      <c r="Q173" s="12">
        <v>30476.39</v>
      </c>
      <c r="R173" s="11">
        <v>6.5104300000000004</v>
      </c>
      <c r="S173" s="13">
        <f t="shared" si="15"/>
        <v>52.563038011695909</v>
      </c>
      <c r="T173" s="17">
        <f t="shared" si="16"/>
        <v>59.471308974658022</v>
      </c>
    </row>
    <row r="174" spans="1:20" ht="16.5" thickBot="1" x14ac:dyDescent="0.3">
      <c r="A174" s="6" t="s">
        <v>48</v>
      </c>
      <c r="B174" s="2">
        <v>2017</v>
      </c>
      <c r="C174" s="7">
        <v>2866</v>
      </c>
      <c r="D174" s="7">
        <v>20</v>
      </c>
      <c r="E174" s="14">
        <f t="shared" si="12"/>
        <v>87.228456913827657</v>
      </c>
      <c r="F174" s="7">
        <v>70.47</v>
      </c>
      <c r="G174" s="7">
        <v>7.52</v>
      </c>
      <c r="H174" s="13">
        <f t="shared" si="13"/>
        <v>47.894444444444446</v>
      </c>
      <c r="I174" s="7">
        <v>2.14</v>
      </c>
      <c r="J174" s="7">
        <v>41.63</v>
      </c>
      <c r="K174" s="7">
        <v>88.41</v>
      </c>
      <c r="L174" s="13">
        <f t="shared" si="17"/>
        <v>50.316470588235298</v>
      </c>
      <c r="M174" s="7">
        <v>13.36</v>
      </c>
      <c r="N174" s="7">
        <v>8.93</v>
      </c>
      <c r="O174" s="13">
        <f t="shared" si="14"/>
        <v>64.871428571428567</v>
      </c>
      <c r="P174" s="7">
        <v>12.81</v>
      </c>
      <c r="Q174" s="12">
        <v>31894.42</v>
      </c>
      <c r="R174" s="11">
        <v>6.760751</v>
      </c>
      <c r="S174" s="13">
        <f t="shared" si="15"/>
        <v>53.020807191210352</v>
      </c>
      <c r="T174" s="17">
        <f t="shared" si="16"/>
        <v>59.133101677479772</v>
      </c>
    </row>
    <row r="175" spans="1:20" ht="16.5" thickBot="1" x14ac:dyDescent="0.3">
      <c r="A175" s="6" t="s">
        <v>48</v>
      </c>
      <c r="B175" s="2">
        <v>2018</v>
      </c>
      <c r="C175" s="7">
        <v>1263</v>
      </c>
      <c r="D175" s="7">
        <v>23</v>
      </c>
      <c r="E175" s="14">
        <f t="shared" si="12"/>
        <v>87.334669338677344</v>
      </c>
      <c r="F175" s="7">
        <v>70.72</v>
      </c>
      <c r="G175" s="7">
        <v>7.58</v>
      </c>
      <c r="H175" s="13">
        <f t="shared" si="13"/>
        <v>47.977777777777774</v>
      </c>
      <c r="I175" s="7">
        <v>2.12</v>
      </c>
      <c r="J175" s="7">
        <v>34.96</v>
      </c>
      <c r="K175" s="7">
        <v>86.39</v>
      </c>
      <c r="L175" s="13">
        <f t="shared" si="17"/>
        <v>46.220784313725495</v>
      </c>
      <c r="M175" s="7">
        <v>13.53</v>
      </c>
      <c r="N175" s="7">
        <v>9.0299999999999994</v>
      </c>
      <c r="O175" s="13">
        <f t="shared" si="14"/>
        <v>66.435714285714269</v>
      </c>
      <c r="P175" s="7">
        <v>11.63</v>
      </c>
      <c r="Q175" s="12">
        <v>33278.660000000003</v>
      </c>
      <c r="R175" s="11">
        <v>6.3954839999999997</v>
      </c>
      <c r="S175" s="13">
        <f t="shared" si="15"/>
        <v>53.390394563175612</v>
      </c>
      <c r="T175" s="17">
        <f t="shared" si="16"/>
        <v>58.530976770196027</v>
      </c>
    </row>
    <row r="176" spans="1:20" ht="16.5" thickBot="1" x14ac:dyDescent="0.3">
      <c r="A176" s="6" t="s">
        <v>48</v>
      </c>
      <c r="B176" s="2">
        <v>2019</v>
      </c>
      <c r="C176" s="7">
        <v>1213</v>
      </c>
      <c r="D176" s="7">
        <v>21</v>
      </c>
      <c r="E176" s="14">
        <f t="shared" si="12"/>
        <v>88.38476953907815</v>
      </c>
      <c r="F176" s="7">
        <v>71.16</v>
      </c>
      <c r="G176" s="7">
        <v>7.34</v>
      </c>
      <c r="H176" s="13">
        <f t="shared" si="13"/>
        <v>50.044444444444444</v>
      </c>
      <c r="I176" s="7">
        <v>2.1</v>
      </c>
      <c r="J176" s="7">
        <v>55.77</v>
      </c>
      <c r="K176" s="7">
        <v>91.55</v>
      </c>
      <c r="L176" s="13">
        <f t="shared" si="17"/>
        <v>57.688235294117653</v>
      </c>
      <c r="M176" s="7">
        <v>13.55</v>
      </c>
      <c r="N176" s="7">
        <v>9.25</v>
      </c>
      <c r="O176" s="13">
        <f t="shared" si="14"/>
        <v>68.107142857142861</v>
      </c>
      <c r="P176" s="7">
        <v>11.24</v>
      </c>
      <c r="Q176" s="12">
        <v>35309.9</v>
      </c>
      <c r="R176" s="11">
        <v>6.503609</v>
      </c>
      <c r="S176" s="13">
        <f t="shared" si="15"/>
        <v>53.958158181818185</v>
      </c>
      <c r="T176" s="17">
        <f t="shared" si="16"/>
        <v>62.289388554063798</v>
      </c>
    </row>
    <row r="177" spans="1:20" ht="16.5" thickBot="1" x14ac:dyDescent="0.3">
      <c r="A177" s="6" t="s">
        <v>48</v>
      </c>
      <c r="B177" s="2">
        <v>2020</v>
      </c>
      <c r="C177" s="7">
        <v>2148</v>
      </c>
      <c r="D177" s="7">
        <v>11</v>
      </c>
      <c r="E177" s="14">
        <f t="shared" si="12"/>
        <v>92.447895791583164</v>
      </c>
      <c r="F177" s="7">
        <v>71.34</v>
      </c>
      <c r="G177" s="7">
        <v>8.5399999999999991</v>
      </c>
      <c r="H177" s="13">
        <f t="shared" si="13"/>
        <v>43.677777777777784</v>
      </c>
      <c r="I177" s="7">
        <v>1.58</v>
      </c>
      <c r="J177" s="7">
        <v>60.48</v>
      </c>
      <c r="K177" s="7">
        <v>92.93</v>
      </c>
      <c r="L177" s="13">
        <f t="shared" si="17"/>
        <v>56.988627450980403</v>
      </c>
      <c r="M177" s="7">
        <v>13.65</v>
      </c>
      <c r="N177" s="7">
        <v>9.41</v>
      </c>
      <c r="O177" s="13">
        <f t="shared" si="14"/>
        <v>69.75</v>
      </c>
      <c r="P177" s="7">
        <v>11</v>
      </c>
      <c r="Q177" s="12">
        <v>35709.019999999997</v>
      </c>
      <c r="R177" s="11">
        <v>-0.65</v>
      </c>
      <c r="S177" s="13">
        <f t="shared" si="15"/>
        <v>48.81001768562821</v>
      </c>
      <c r="T177" s="17">
        <f t="shared" si="16"/>
        <v>60.089665694966023</v>
      </c>
    </row>
    <row r="178" spans="1:20" ht="16.5" thickBot="1" x14ac:dyDescent="0.3">
      <c r="A178" s="6" t="s">
        <v>49</v>
      </c>
      <c r="B178" s="2">
        <v>2015</v>
      </c>
      <c r="C178" s="7">
        <v>7837</v>
      </c>
      <c r="D178" s="7">
        <v>5</v>
      </c>
      <c r="E178" s="14">
        <f t="shared" si="12"/>
        <v>89.747494989979955</v>
      </c>
      <c r="F178" s="7">
        <v>70.989999999999995</v>
      </c>
      <c r="G178" s="7">
        <v>4.55</v>
      </c>
      <c r="H178" s="13">
        <f t="shared" si="13"/>
        <v>65.261111111111106</v>
      </c>
      <c r="I178" s="7">
        <v>1.1499999999999999</v>
      </c>
      <c r="J178" s="7">
        <v>35.43</v>
      </c>
      <c r="K178" s="7">
        <v>90.03</v>
      </c>
      <c r="L178" s="13">
        <f t="shared" si="17"/>
        <v>42.365098039215681</v>
      </c>
      <c r="M178" s="7">
        <v>12.43</v>
      </c>
      <c r="N178" s="7">
        <v>9.19</v>
      </c>
      <c r="O178" s="13">
        <f t="shared" si="14"/>
        <v>62.078571428571429</v>
      </c>
      <c r="P178" s="7">
        <v>8.65</v>
      </c>
      <c r="Q178" s="12">
        <v>29196.47</v>
      </c>
      <c r="R178" s="11">
        <v>6.1249599999999997</v>
      </c>
      <c r="S178" s="13">
        <f t="shared" si="15"/>
        <v>53.477199734183941</v>
      </c>
      <c r="T178" s="17">
        <f t="shared" si="16"/>
        <v>60.695861130889924</v>
      </c>
    </row>
    <row r="179" spans="1:20" ht="16.5" thickBot="1" x14ac:dyDescent="0.3">
      <c r="A179" s="6" t="s">
        <v>49</v>
      </c>
      <c r="B179" s="2">
        <v>2016</v>
      </c>
      <c r="C179" s="7">
        <v>9923</v>
      </c>
      <c r="D179" s="7">
        <v>7</v>
      </c>
      <c r="E179" s="14">
        <f t="shared" si="12"/>
        <v>86.657314629258522</v>
      </c>
      <c r="F179" s="7">
        <v>71.02</v>
      </c>
      <c r="G179" s="7">
        <v>4.58</v>
      </c>
      <c r="H179" s="13">
        <f t="shared" si="13"/>
        <v>65.144444444444431</v>
      </c>
      <c r="I179" s="7">
        <v>1.1299999999999999</v>
      </c>
      <c r="J179" s="7">
        <v>38.729999999999997</v>
      </c>
      <c r="K179" s="7">
        <v>92.92</v>
      </c>
      <c r="L179" s="13">
        <f t="shared" si="17"/>
        <v>45.452549019607844</v>
      </c>
      <c r="M179" s="7">
        <v>12.55</v>
      </c>
      <c r="N179" s="7">
        <v>9.31</v>
      </c>
      <c r="O179" s="13">
        <f t="shared" si="14"/>
        <v>63.535714285714292</v>
      </c>
      <c r="P179" s="7">
        <v>8.34</v>
      </c>
      <c r="Q179" s="12">
        <v>30679.97</v>
      </c>
      <c r="R179" s="11">
        <v>6.1616039999999996</v>
      </c>
      <c r="S179" s="13">
        <f t="shared" si="15"/>
        <v>53.86898370015949</v>
      </c>
      <c r="T179" s="17">
        <f t="shared" si="16"/>
        <v>61.477968894121126</v>
      </c>
    </row>
    <row r="180" spans="1:20" ht="16.5" thickBot="1" x14ac:dyDescent="0.3">
      <c r="A180" s="6" t="s">
        <v>49</v>
      </c>
      <c r="B180" s="2">
        <v>2017</v>
      </c>
      <c r="C180" s="7">
        <v>7981</v>
      </c>
      <c r="D180" s="7">
        <v>9</v>
      </c>
      <c r="E180" s="14">
        <f t="shared" si="12"/>
        <v>87.603206412825656</v>
      </c>
      <c r="F180" s="7">
        <v>71.040000000000006</v>
      </c>
      <c r="G180" s="7">
        <v>5.44</v>
      </c>
      <c r="H180" s="13">
        <f t="shared" si="13"/>
        <v>60.400000000000006</v>
      </c>
      <c r="I180" s="7">
        <v>1.1100000000000001</v>
      </c>
      <c r="J180" s="7">
        <v>44.48</v>
      </c>
      <c r="K180" s="7">
        <v>93.5</v>
      </c>
      <c r="L180" s="13">
        <f t="shared" si="17"/>
        <v>47.960784313725497</v>
      </c>
      <c r="M180" s="7">
        <v>12.66</v>
      </c>
      <c r="N180" s="7">
        <v>9.4</v>
      </c>
      <c r="O180" s="13">
        <f t="shared" si="14"/>
        <v>64.728571428571442</v>
      </c>
      <c r="P180" s="7">
        <v>8.1</v>
      </c>
      <c r="Q180" s="12">
        <v>32297.08</v>
      </c>
      <c r="R180" s="11">
        <v>6.3122999999999996</v>
      </c>
      <c r="S180" s="13">
        <f t="shared" si="15"/>
        <v>54.345121956406174</v>
      </c>
      <c r="T180" s="17">
        <f t="shared" si="16"/>
        <v>61.679374593774931</v>
      </c>
    </row>
    <row r="181" spans="1:20" ht="16.5" thickBot="1" x14ac:dyDescent="0.3">
      <c r="A181" s="6" t="s">
        <v>49</v>
      </c>
      <c r="B181" s="2">
        <v>2018</v>
      </c>
      <c r="C181" s="7">
        <v>10247</v>
      </c>
      <c r="D181" s="7">
        <v>6</v>
      </c>
      <c r="E181" s="14">
        <f t="shared" si="12"/>
        <v>86.832665330661314</v>
      </c>
      <c r="F181" s="7">
        <v>71.260000000000005</v>
      </c>
      <c r="G181" s="7">
        <v>5.46</v>
      </c>
      <c r="H181" s="13">
        <f t="shared" si="13"/>
        <v>60.655555555555573</v>
      </c>
      <c r="I181" s="7">
        <v>1.0900000000000001</v>
      </c>
      <c r="J181" s="7">
        <v>33.619999999999997</v>
      </c>
      <c r="K181" s="7">
        <v>91.77</v>
      </c>
      <c r="L181" s="13">
        <f t="shared" si="17"/>
        <v>42.415294117647058</v>
      </c>
      <c r="M181" s="7">
        <v>12.68</v>
      </c>
      <c r="N181" s="7">
        <v>9.51</v>
      </c>
      <c r="O181" s="13">
        <f t="shared" si="14"/>
        <v>65.614285714285714</v>
      </c>
      <c r="P181" s="7">
        <v>7.8</v>
      </c>
      <c r="Q181" s="12">
        <v>33911.599999999999</v>
      </c>
      <c r="R181" s="11">
        <v>5.9957830000000003</v>
      </c>
      <c r="S181" s="13">
        <f t="shared" si="15"/>
        <v>54.494924143186239</v>
      </c>
      <c r="T181" s="17">
        <f t="shared" si="16"/>
        <v>60.323444426557373</v>
      </c>
    </row>
    <row r="182" spans="1:20" ht="16.5" thickBot="1" x14ac:dyDescent="0.3">
      <c r="A182" s="6" t="s">
        <v>49</v>
      </c>
      <c r="B182" s="2">
        <v>2019</v>
      </c>
      <c r="C182" s="7">
        <v>7425</v>
      </c>
      <c r="D182" s="7">
        <v>6</v>
      </c>
      <c r="E182" s="14">
        <f t="shared" si="12"/>
        <v>89.660320641282567</v>
      </c>
      <c r="F182" s="7">
        <v>71.63</v>
      </c>
      <c r="G182" s="7">
        <v>4.7300000000000004</v>
      </c>
      <c r="H182" s="13">
        <f t="shared" si="13"/>
        <v>65.327777777777769</v>
      </c>
      <c r="I182" s="7">
        <v>1.07</v>
      </c>
      <c r="J182" s="7">
        <v>54.93</v>
      </c>
      <c r="K182" s="7">
        <v>93.92</v>
      </c>
      <c r="L182" s="13">
        <f t="shared" si="17"/>
        <v>52.072156862745103</v>
      </c>
      <c r="M182" s="7">
        <v>12.73</v>
      </c>
      <c r="N182" s="7">
        <v>9.6300000000000008</v>
      </c>
      <c r="O182" s="13">
        <f t="shared" si="14"/>
        <v>66.721428571428575</v>
      </c>
      <c r="P182" s="7">
        <v>7.66</v>
      </c>
      <c r="Q182" s="12">
        <v>35687.440000000002</v>
      </c>
      <c r="R182" s="11">
        <v>5.649324</v>
      </c>
      <c r="S182" s="13">
        <f t="shared" si="15"/>
        <v>54.596976771220987</v>
      </c>
      <c r="T182" s="17">
        <f t="shared" si="16"/>
        <v>64.438813348041435</v>
      </c>
    </row>
    <row r="183" spans="1:20" ht="16.5" thickBot="1" x14ac:dyDescent="0.3">
      <c r="A183" s="6" t="s">
        <v>49</v>
      </c>
      <c r="B183" s="2">
        <v>2020</v>
      </c>
      <c r="C183" s="7">
        <v>6274</v>
      </c>
      <c r="D183" s="7">
        <v>5</v>
      </c>
      <c r="E183" s="14">
        <f t="shared" si="12"/>
        <v>91.313627254509015</v>
      </c>
      <c r="F183" s="7">
        <v>71.745000000000005</v>
      </c>
      <c r="G183" s="7">
        <v>4.68</v>
      </c>
      <c r="H183" s="13">
        <f t="shared" si="13"/>
        <v>65.797222222222231</v>
      </c>
      <c r="I183" s="7">
        <v>1.4</v>
      </c>
      <c r="J183" s="7">
        <v>58.6</v>
      </c>
      <c r="K183" s="7">
        <v>95.88</v>
      </c>
      <c r="L183" s="13">
        <f t="shared" si="17"/>
        <v>57.018039215686265</v>
      </c>
      <c r="M183" s="7">
        <v>12.85</v>
      </c>
      <c r="N183" s="7">
        <v>9.74</v>
      </c>
      <c r="O183" s="13">
        <f t="shared" si="14"/>
        <v>68.107142857142861</v>
      </c>
      <c r="P183" s="7">
        <v>7.62</v>
      </c>
      <c r="Q183" s="12">
        <v>33670.44</v>
      </c>
      <c r="R183" s="11">
        <v>-0.99</v>
      </c>
      <c r="S183" s="13">
        <f t="shared" si="15"/>
        <v>49.338567357788406</v>
      </c>
      <c r="T183" s="17">
        <f t="shared" si="16"/>
        <v>64.897344386488925</v>
      </c>
    </row>
    <row r="184" spans="1:20" ht="16.5" thickBot="1" x14ac:dyDescent="0.3">
      <c r="A184" s="6" t="s">
        <v>50</v>
      </c>
      <c r="B184" s="2">
        <v>2015</v>
      </c>
      <c r="C184" s="7">
        <v>16277</v>
      </c>
      <c r="D184" s="7">
        <v>6</v>
      </c>
      <c r="E184" s="14">
        <f t="shared" si="12"/>
        <v>80.790581162324642</v>
      </c>
      <c r="F184" s="7">
        <v>68.66</v>
      </c>
      <c r="G184" s="7">
        <v>3.49</v>
      </c>
      <c r="H184" s="13">
        <f t="shared" si="13"/>
        <v>67.266666666666666</v>
      </c>
      <c r="I184" s="7">
        <v>1.33</v>
      </c>
      <c r="J184" s="7">
        <v>47.6</v>
      </c>
      <c r="K184" s="7">
        <v>96.34</v>
      </c>
      <c r="L184" s="13">
        <f t="shared" si="17"/>
        <v>52.544313725490198</v>
      </c>
      <c r="M184" s="7">
        <v>13.6</v>
      </c>
      <c r="N184" s="7">
        <v>8.85</v>
      </c>
      <c r="O184" s="13">
        <f t="shared" si="14"/>
        <v>65.5</v>
      </c>
      <c r="P184" s="7">
        <v>7.31</v>
      </c>
      <c r="Q184" s="12">
        <v>27080.76</v>
      </c>
      <c r="R184" s="11">
        <v>5.5336610000000004</v>
      </c>
      <c r="S184" s="13">
        <f t="shared" si="15"/>
        <v>53.119201733120683</v>
      </c>
      <c r="T184" s="17">
        <f t="shared" si="16"/>
        <v>63.013824735548262</v>
      </c>
    </row>
    <row r="185" spans="1:20" ht="16.5" thickBot="1" x14ac:dyDescent="0.3">
      <c r="A185" s="6" t="s">
        <v>50</v>
      </c>
      <c r="B185" s="2">
        <v>2016</v>
      </c>
      <c r="C185" s="7">
        <v>14921</v>
      </c>
      <c r="D185" s="7">
        <v>20</v>
      </c>
      <c r="E185" s="14">
        <f t="shared" si="12"/>
        <v>75.149298597194388</v>
      </c>
      <c r="F185" s="7">
        <v>68.73</v>
      </c>
      <c r="G185" s="7">
        <v>3.19</v>
      </c>
      <c r="H185" s="13">
        <f t="shared" si="13"/>
        <v>69.050000000000011</v>
      </c>
      <c r="I185" s="7">
        <v>1.31</v>
      </c>
      <c r="J185" s="7">
        <v>55.37</v>
      </c>
      <c r="K185" s="7">
        <v>95.85</v>
      </c>
      <c r="L185" s="13">
        <f t="shared" si="17"/>
        <v>55.131372549019595</v>
      </c>
      <c r="M185" s="7">
        <v>13.79</v>
      </c>
      <c r="N185" s="7">
        <v>8.9700000000000006</v>
      </c>
      <c r="O185" s="13">
        <f t="shared" si="14"/>
        <v>67.30714285714285</v>
      </c>
      <c r="P185" s="7">
        <v>7.09</v>
      </c>
      <c r="Q185" s="12">
        <v>28164.93</v>
      </c>
      <c r="R185" s="11">
        <v>5.2691860000000004</v>
      </c>
      <c r="S185" s="13">
        <f t="shared" si="15"/>
        <v>53.18757366294524</v>
      </c>
      <c r="T185" s="17">
        <f t="shared" si="16"/>
        <v>63.397444285972156</v>
      </c>
    </row>
    <row r="186" spans="1:20" ht="16.5" thickBot="1" x14ac:dyDescent="0.3">
      <c r="A186" s="6" t="s">
        <v>50</v>
      </c>
      <c r="B186" s="2">
        <v>2017</v>
      </c>
      <c r="C186" s="7">
        <v>13205</v>
      </c>
      <c r="D186" s="7">
        <v>10</v>
      </c>
      <c r="E186" s="14">
        <f t="shared" si="12"/>
        <v>81.868737474949896</v>
      </c>
      <c r="F186" s="7">
        <v>68.78</v>
      </c>
      <c r="G186" s="7">
        <v>4.22</v>
      </c>
      <c r="H186" s="13">
        <f t="shared" si="13"/>
        <v>63.411111111111104</v>
      </c>
      <c r="I186" s="7">
        <v>1.29</v>
      </c>
      <c r="J186" s="7">
        <v>54.85</v>
      </c>
      <c r="K186" s="7">
        <v>97.43</v>
      </c>
      <c r="L186" s="13">
        <f t="shared" si="17"/>
        <v>55.847450980392168</v>
      </c>
      <c r="M186" s="7">
        <v>13.94</v>
      </c>
      <c r="N186" s="7">
        <v>9.02</v>
      </c>
      <c r="O186" s="13">
        <f t="shared" si="14"/>
        <v>68.414285714285711</v>
      </c>
      <c r="P186" s="7">
        <v>6.87</v>
      </c>
      <c r="Q186" s="12">
        <v>29312.17</v>
      </c>
      <c r="R186" s="11">
        <v>5.2993290000000002</v>
      </c>
      <c r="S186" s="13">
        <f t="shared" si="15"/>
        <v>53.485246060606059</v>
      </c>
      <c r="T186" s="17">
        <f t="shared" si="16"/>
        <v>63.845974685730766</v>
      </c>
    </row>
    <row r="187" spans="1:20" ht="16.5" thickBot="1" x14ac:dyDescent="0.3">
      <c r="A187" s="6" t="s">
        <v>50</v>
      </c>
      <c r="B187" s="2">
        <v>2018</v>
      </c>
      <c r="C187" s="7">
        <v>12953</v>
      </c>
      <c r="D187" s="7">
        <v>14</v>
      </c>
      <c r="E187" s="14">
        <f t="shared" si="12"/>
        <v>80.12124248496994</v>
      </c>
      <c r="F187" s="7">
        <v>69.010000000000005</v>
      </c>
      <c r="G187" s="7">
        <v>3.31</v>
      </c>
      <c r="H187" s="13">
        <f t="shared" si="13"/>
        <v>68.850000000000009</v>
      </c>
      <c r="I187" s="7">
        <v>1.27</v>
      </c>
      <c r="J187" s="7">
        <v>50.4</v>
      </c>
      <c r="K187" s="7">
        <v>96.82</v>
      </c>
      <c r="L187" s="13">
        <f t="shared" si="17"/>
        <v>53.562352941176471</v>
      </c>
      <c r="M187" s="7">
        <v>13.95</v>
      </c>
      <c r="N187" s="7">
        <v>9.1</v>
      </c>
      <c r="O187" s="13">
        <f t="shared" si="14"/>
        <v>69.035714285714278</v>
      </c>
      <c r="P187" s="7">
        <v>6.65</v>
      </c>
      <c r="Q187" s="12">
        <v>30470.799999999999</v>
      </c>
      <c r="R187" s="11">
        <v>5.1363029999999998</v>
      </c>
      <c r="S187" s="13">
        <f t="shared" si="15"/>
        <v>53.641828555732772</v>
      </c>
      <c r="T187" s="17">
        <f t="shared" si="16"/>
        <v>64.241804687934561</v>
      </c>
    </row>
    <row r="188" spans="1:20" ht="16.5" thickBot="1" x14ac:dyDescent="0.3">
      <c r="A188" s="6" t="s">
        <v>50</v>
      </c>
      <c r="B188" s="2">
        <v>2019</v>
      </c>
      <c r="C188" s="7">
        <v>11064</v>
      </c>
      <c r="D188" s="7">
        <v>18</v>
      </c>
      <c r="E188" s="14">
        <f t="shared" si="12"/>
        <v>80.014028056112224</v>
      </c>
      <c r="F188" s="7">
        <v>69.355000000000004</v>
      </c>
      <c r="G188" s="7">
        <v>3.28</v>
      </c>
      <c r="H188" s="13">
        <f t="shared" si="13"/>
        <v>69.591666666666669</v>
      </c>
      <c r="I188" s="7">
        <v>1.25</v>
      </c>
      <c r="J188" s="7">
        <v>69.23</v>
      </c>
      <c r="K188" s="7">
        <v>97.66</v>
      </c>
      <c r="L188" s="13">
        <f t="shared" si="17"/>
        <v>61.373333333333335</v>
      </c>
      <c r="M188" s="7">
        <v>14.01</v>
      </c>
      <c r="N188" s="7">
        <v>9.2200000000000006</v>
      </c>
      <c r="O188" s="13">
        <f t="shared" si="14"/>
        <v>70.19285714285715</v>
      </c>
      <c r="P188" s="7">
        <v>6.42</v>
      </c>
      <c r="Q188" s="12">
        <v>31427.29</v>
      </c>
      <c r="R188" s="11">
        <v>5.0108480000000002</v>
      </c>
      <c r="S188" s="13">
        <f t="shared" si="15"/>
        <v>53.79414526670211</v>
      </c>
      <c r="T188" s="17">
        <f t="shared" si="16"/>
        <v>66.396655372860209</v>
      </c>
    </row>
    <row r="189" spans="1:20" ht="16.5" thickBot="1" x14ac:dyDescent="0.3">
      <c r="A189" s="6" t="s">
        <v>50</v>
      </c>
      <c r="B189" s="2">
        <v>2020</v>
      </c>
      <c r="C189" s="7">
        <v>7992</v>
      </c>
      <c r="D189" s="7">
        <v>19</v>
      </c>
      <c r="E189" s="14">
        <f t="shared" si="12"/>
        <v>82.592184368737477</v>
      </c>
      <c r="F189" s="7">
        <v>69.52</v>
      </c>
      <c r="G189" s="7">
        <v>4.13</v>
      </c>
      <c r="H189" s="13">
        <f t="shared" si="13"/>
        <v>65.144444444444431</v>
      </c>
      <c r="I189" s="7">
        <v>1.29</v>
      </c>
      <c r="J189" s="7">
        <v>70.36</v>
      </c>
      <c r="K189" s="7">
        <v>97.29</v>
      </c>
      <c r="L189" s="13">
        <f t="shared" si="17"/>
        <v>61.836470588235301</v>
      </c>
      <c r="M189" s="7">
        <v>14.02</v>
      </c>
      <c r="N189" s="7">
        <v>9.34</v>
      </c>
      <c r="O189" s="13">
        <f t="shared" si="14"/>
        <v>71.099999999999994</v>
      </c>
      <c r="P189" s="7">
        <v>6.28</v>
      </c>
      <c r="Q189" s="12">
        <v>30694.42</v>
      </c>
      <c r="R189" s="11">
        <v>-1.62</v>
      </c>
      <c r="S189" s="13">
        <f t="shared" si="15"/>
        <v>48.800970370370365</v>
      </c>
      <c r="T189" s="17">
        <f t="shared" si="16"/>
        <v>64.933949335762534</v>
      </c>
    </row>
    <row r="190" spans="1:20" ht="16.5" thickBot="1" x14ac:dyDescent="0.3">
      <c r="A190" s="6" t="s">
        <v>51</v>
      </c>
      <c r="B190" s="2">
        <v>2015</v>
      </c>
      <c r="C190" s="7">
        <v>20575</v>
      </c>
      <c r="D190" s="7">
        <v>40</v>
      </c>
      <c r="E190" s="14">
        <f t="shared" si="12"/>
        <v>59.483967935871739</v>
      </c>
      <c r="F190" s="7">
        <v>69.14</v>
      </c>
      <c r="G190" s="7">
        <v>4.33</v>
      </c>
      <c r="H190" s="13">
        <f t="shared" si="13"/>
        <v>63.4</v>
      </c>
      <c r="I190" s="7">
        <v>1.48</v>
      </c>
      <c r="J190" s="7">
        <v>51.91</v>
      </c>
      <c r="K190" s="7">
        <v>92.03</v>
      </c>
      <c r="L190" s="13">
        <f t="shared" si="17"/>
        <v>52.361176470588234</v>
      </c>
      <c r="M190" s="7">
        <v>12.02</v>
      </c>
      <c r="N190" s="7">
        <v>8.26</v>
      </c>
      <c r="O190" s="13">
        <f t="shared" si="14"/>
        <v>53.385714285714279</v>
      </c>
      <c r="P190" s="7">
        <v>14.25</v>
      </c>
      <c r="Q190" s="12">
        <v>31549.3</v>
      </c>
      <c r="R190" s="11">
        <v>4.4172659999999997</v>
      </c>
      <c r="S190" s="13">
        <f t="shared" si="15"/>
        <v>50.739496523125993</v>
      </c>
      <c r="T190" s="17">
        <f t="shared" si="16"/>
        <v>55.674196660760224</v>
      </c>
    </row>
    <row r="191" spans="1:20" ht="16.5" thickBot="1" x14ac:dyDescent="0.3">
      <c r="A191" s="6" t="s">
        <v>51</v>
      </c>
      <c r="B191" s="2">
        <v>2016</v>
      </c>
      <c r="C191" s="7">
        <v>20368</v>
      </c>
      <c r="D191" s="7">
        <v>63</v>
      </c>
      <c r="E191" s="14">
        <f t="shared" si="12"/>
        <v>48.19138276553106</v>
      </c>
      <c r="F191" s="7">
        <v>69.16</v>
      </c>
      <c r="G191" s="7">
        <v>3.6</v>
      </c>
      <c r="H191" s="13">
        <f t="shared" si="13"/>
        <v>67.48888888888888</v>
      </c>
      <c r="I191" s="7">
        <v>1.46</v>
      </c>
      <c r="J191" s="7">
        <v>46.78</v>
      </c>
      <c r="K191" s="7">
        <v>93.77</v>
      </c>
      <c r="L191" s="13">
        <f t="shared" si="17"/>
        <v>51.376078431372548</v>
      </c>
      <c r="M191" s="7">
        <v>12.23</v>
      </c>
      <c r="N191" s="7">
        <v>8.32</v>
      </c>
      <c r="O191" s="13">
        <f t="shared" si="14"/>
        <v>54.864285714285721</v>
      </c>
      <c r="P191" s="7">
        <v>13.54</v>
      </c>
      <c r="Q191" s="12">
        <v>32699.5</v>
      </c>
      <c r="R191" s="11">
        <v>5.0434080000000003</v>
      </c>
      <c r="S191" s="13">
        <f t="shared" si="15"/>
        <v>51.644152124756339</v>
      </c>
      <c r="T191" s="17">
        <f t="shared" si="16"/>
        <v>54.331875852069238</v>
      </c>
    </row>
    <row r="192" spans="1:20" ht="16.5" thickBot="1" x14ac:dyDescent="0.3">
      <c r="A192" s="6" t="s">
        <v>51</v>
      </c>
      <c r="B192" s="2">
        <v>2017</v>
      </c>
      <c r="C192" s="7">
        <v>15728</v>
      </c>
      <c r="D192" s="7">
        <v>43</v>
      </c>
      <c r="E192" s="14">
        <f t="shared" si="12"/>
        <v>62.840681362725448</v>
      </c>
      <c r="F192" s="7">
        <v>69.180000000000007</v>
      </c>
      <c r="G192" s="7">
        <v>4.6500000000000004</v>
      </c>
      <c r="H192" s="13">
        <f t="shared" si="13"/>
        <v>61.68888888888889</v>
      </c>
      <c r="I192" s="7">
        <v>1.44</v>
      </c>
      <c r="J192" s="7">
        <v>58.35</v>
      </c>
      <c r="K192" s="7">
        <v>93.62</v>
      </c>
      <c r="L192" s="13">
        <f t="shared" si="17"/>
        <v>55.680000000000007</v>
      </c>
      <c r="M192" s="7">
        <v>12.35</v>
      </c>
      <c r="N192" s="7">
        <v>8.41</v>
      </c>
      <c r="O192" s="13">
        <f t="shared" si="14"/>
        <v>56.107142857142854</v>
      </c>
      <c r="P192" s="7">
        <v>13.19</v>
      </c>
      <c r="Q192" s="12">
        <v>34059.71</v>
      </c>
      <c r="R192" s="11">
        <v>5.5136599999999998</v>
      </c>
      <c r="S192" s="13">
        <f t="shared" si="15"/>
        <v>52.348965390749612</v>
      </c>
      <c r="T192" s="17">
        <f t="shared" si="16"/>
        <v>57.598962833933683</v>
      </c>
    </row>
    <row r="193" spans="1:20" ht="16.5" thickBot="1" x14ac:dyDescent="0.3">
      <c r="A193" s="6" t="s">
        <v>51</v>
      </c>
      <c r="B193" s="2">
        <v>2018</v>
      </c>
      <c r="C193" s="7">
        <v>13558</v>
      </c>
      <c r="D193" s="7">
        <v>67</v>
      </c>
      <c r="E193" s="14">
        <f t="shared" si="12"/>
        <v>53.015030060120239</v>
      </c>
      <c r="F193" s="7">
        <v>69.41</v>
      </c>
      <c r="G193" s="7">
        <v>4.05</v>
      </c>
      <c r="H193" s="13">
        <f t="shared" si="13"/>
        <v>65.405555555555566</v>
      </c>
      <c r="I193" s="7">
        <v>1.41</v>
      </c>
      <c r="J193" s="7">
        <v>41.56</v>
      </c>
      <c r="K193" s="7">
        <v>92.66</v>
      </c>
      <c r="L193" s="13">
        <f t="shared" si="17"/>
        <v>48.255686274509799</v>
      </c>
      <c r="M193" s="7">
        <v>12.36</v>
      </c>
      <c r="N193" s="7">
        <v>8.48</v>
      </c>
      <c r="O193" s="13">
        <f t="shared" si="14"/>
        <v>56.657142857142851</v>
      </c>
      <c r="P193" s="7">
        <v>12.8</v>
      </c>
      <c r="Q193" s="12">
        <v>35659.82</v>
      </c>
      <c r="R193" s="11">
        <v>6.0066769999999998</v>
      </c>
      <c r="S193" s="13">
        <f t="shared" si="15"/>
        <v>53.12619735247209</v>
      </c>
      <c r="T193" s="17">
        <f t="shared" si="16"/>
        <v>55.007905596292716</v>
      </c>
    </row>
    <row r="194" spans="1:20" ht="16.5" thickBot="1" x14ac:dyDescent="0.3">
      <c r="A194" s="6" t="s">
        <v>51</v>
      </c>
      <c r="B194" s="2">
        <v>2019</v>
      </c>
      <c r="C194" s="7">
        <v>12861</v>
      </c>
      <c r="D194" s="7">
        <v>38</v>
      </c>
      <c r="E194" s="14">
        <f t="shared" si="12"/>
        <v>68.213426853707418</v>
      </c>
      <c r="F194" s="7">
        <v>69.704999999999998</v>
      </c>
      <c r="G194" s="7">
        <v>5.14</v>
      </c>
      <c r="H194" s="13">
        <f t="shared" si="13"/>
        <v>59.841666666666661</v>
      </c>
      <c r="I194" s="7">
        <v>1.39</v>
      </c>
      <c r="J194" s="7">
        <v>64.39</v>
      </c>
      <c r="K194" s="7">
        <v>92.93</v>
      </c>
      <c r="L194" s="13">
        <f t="shared" si="17"/>
        <v>57.255294117647061</v>
      </c>
      <c r="M194" s="7">
        <v>12.39</v>
      </c>
      <c r="N194" s="7">
        <v>8.6</v>
      </c>
      <c r="O194" s="13">
        <f t="shared" si="14"/>
        <v>57.664285714285711</v>
      </c>
      <c r="P194" s="7">
        <v>12.71</v>
      </c>
      <c r="Q194" s="12">
        <v>37125.75</v>
      </c>
      <c r="R194" s="11">
        <v>5.6921629999999999</v>
      </c>
      <c r="S194" s="13">
        <f t="shared" si="15"/>
        <v>53.180707751196174</v>
      </c>
      <c r="T194" s="17">
        <f t="shared" si="16"/>
        <v>59.029627901600911</v>
      </c>
    </row>
    <row r="195" spans="1:20" ht="16.5" thickBot="1" x14ac:dyDescent="0.3">
      <c r="A195" s="6" t="s">
        <v>51</v>
      </c>
      <c r="B195" s="2">
        <v>2020</v>
      </c>
      <c r="C195" s="7">
        <v>12189</v>
      </c>
      <c r="D195" s="7">
        <v>29</v>
      </c>
      <c r="E195" s="14">
        <f t="shared" si="12"/>
        <v>73.38677354709418</v>
      </c>
      <c r="F195" s="7">
        <v>69.930000000000007</v>
      </c>
      <c r="G195" s="7">
        <v>5.36</v>
      </c>
      <c r="H195" s="13">
        <f t="shared" si="13"/>
        <v>58.994444444444461</v>
      </c>
      <c r="I195" s="7">
        <v>1.25</v>
      </c>
      <c r="J195" s="7">
        <v>68.06</v>
      </c>
      <c r="K195" s="7">
        <v>95.3</v>
      </c>
      <c r="L195" s="13">
        <f t="shared" si="17"/>
        <v>59.341176470588231</v>
      </c>
      <c r="M195" s="7">
        <v>12.45</v>
      </c>
      <c r="N195" s="7">
        <v>8.68</v>
      </c>
      <c r="O195" s="13">
        <f t="shared" si="14"/>
        <v>58.535714285714278</v>
      </c>
      <c r="P195" s="7">
        <v>12.66</v>
      </c>
      <c r="Q195" s="12">
        <v>37323.24</v>
      </c>
      <c r="R195" s="11">
        <v>-0.11</v>
      </c>
      <c r="S195" s="13">
        <f t="shared" si="15"/>
        <v>48.934291617933724</v>
      </c>
      <c r="T195" s="17">
        <f t="shared" si="16"/>
        <v>59.342229393858346</v>
      </c>
    </row>
    <row r="196" spans="1:20" ht="16.5" thickBot="1" x14ac:dyDescent="0.3">
      <c r="A196" s="6" t="s">
        <v>52</v>
      </c>
      <c r="B196" s="2">
        <v>2015</v>
      </c>
      <c r="C196" s="7">
        <v>35248</v>
      </c>
      <c r="D196" s="7">
        <v>28</v>
      </c>
      <c r="E196" s="14">
        <f t="shared" si="12"/>
        <v>50.781563126252507</v>
      </c>
      <c r="F196" s="7">
        <v>68.290000000000006</v>
      </c>
      <c r="G196" s="7">
        <v>3.16</v>
      </c>
      <c r="H196" s="13">
        <f t="shared" si="13"/>
        <v>68.483333333333334</v>
      </c>
      <c r="I196" s="7">
        <v>1.36</v>
      </c>
      <c r="J196" s="7">
        <v>30.29</v>
      </c>
      <c r="K196" s="7">
        <v>94.08</v>
      </c>
      <c r="L196" s="13">
        <f t="shared" si="17"/>
        <v>44.449411764705879</v>
      </c>
      <c r="M196" s="7">
        <v>12.82</v>
      </c>
      <c r="N196" s="7">
        <v>9.34</v>
      </c>
      <c r="O196" s="13">
        <f t="shared" si="14"/>
        <v>65.100000000000009</v>
      </c>
      <c r="P196" s="7">
        <v>10.53</v>
      </c>
      <c r="Q196" s="12">
        <v>31637.41</v>
      </c>
      <c r="R196" s="11">
        <v>5.0962579999999997</v>
      </c>
      <c r="S196" s="13">
        <f t="shared" si="15"/>
        <v>52.510436707425121</v>
      </c>
      <c r="T196" s="17">
        <f t="shared" si="16"/>
        <v>55.538828974842588</v>
      </c>
    </row>
    <row r="197" spans="1:20" ht="16.5" thickBot="1" x14ac:dyDescent="0.3">
      <c r="A197" s="6" t="s">
        <v>52</v>
      </c>
      <c r="B197" s="2">
        <v>2016</v>
      </c>
      <c r="C197" s="7">
        <v>37102</v>
      </c>
      <c r="D197" s="7">
        <v>99</v>
      </c>
      <c r="E197" s="14">
        <f t="shared" ref="E197:E207" si="18">((1-((C197-100)/(50000-100)))+(1-((D197-0)/(100-0))))/2*100</f>
        <v>13.423847695390783</v>
      </c>
      <c r="F197" s="7">
        <v>68.33</v>
      </c>
      <c r="G197" s="7">
        <v>3.47</v>
      </c>
      <c r="H197" s="13">
        <f t="shared" ref="H197:H207" si="19">(((F197-50)/(80-50))+(1-(G197-1)/(10-1)))/2*100</f>
        <v>66.827777777777769</v>
      </c>
      <c r="I197" s="7">
        <v>1.33</v>
      </c>
      <c r="J197" s="7">
        <v>33.47</v>
      </c>
      <c r="K197" s="7">
        <v>95.75</v>
      </c>
      <c r="L197" s="13">
        <f t="shared" si="17"/>
        <v>46.609803921568634</v>
      </c>
      <c r="M197" s="7">
        <v>13</v>
      </c>
      <c r="N197" s="7">
        <v>9.4600000000000009</v>
      </c>
      <c r="O197" s="13">
        <f t="shared" ref="O197:O207" si="20">(((M197-6)/(16-6))+((N197-5)/(12-5)))/2*100</f>
        <v>66.857142857142861</v>
      </c>
      <c r="P197" s="7">
        <v>10.35</v>
      </c>
      <c r="Q197" s="12">
        <v>32885.089999999997</v>
      </c>
      <c r="R197" s="11">
        <v>5.175033</v>
      </c>
      <c r="S197" s="13">
        <f t="shared" ref="S197:S207" si="21">((1-((P197-1)/(100-1)))+((Q197-10000)/(200000-10000))+((R197-(-20))/(25-(-20))))/3*100</f>
        <v>52.848285847953214</v>
      </c>
      <c r="T197" s="17">
        <f t="shared" ref="T197:T207" si="22">(E197*H197*L197*O197*S197)^(1/5)</f>
        <v>43.042551329759647</v>
      </c>
    </row>
    <row r="198" spans="1:20" ht="16.5" thickBot="1" x14ac:dyDescent="0.3">
      <c r="A198" s="6" t="s">
        <v>52</v>
      </c>
      <c r="B198" s="2">
        <v>2017</v>
      </c>
      <c r="C198" s="7">
        <v>39867</v>
      </c>
      <c r="D198" s="7">
        <v>95</v>
      </c>
      <c r="E198" s="14">
        <f t="shared" si="18"/>
        <v>12.653306613226455</v>
      </c>
      <c r="F198" s="7">
        <v>68.37</v>
      </c>
      <c r="G198" s="7">
        <v>4.1900000000000004</v>
      </c>
      <c r="H198" s="13">
        <f t="shared" si="19"/>
        <v>62.894444444444453</v>
      </c>
      <c r="I198" s="7">
        <v>1.3</v>
      </c>
      <c r="J198" s="7">
        <v>50.86</v>
      </c>
      <c r="K198" s="7">
        <v>95.27</v>
      </c>
      <c r="L198" s="13">
        <f t="shared" ref="L198:L207" si="23">(((I198-0)/(5-0))+((J198-15)/(100-15))+((K198-50)/(100-50)))/3*100</f>
        <v>52.909411764705879</v>
      </c>
      <c r="M198" s="7">
        <v>13.1</v>
      </c>
      <c r="N198" s="7">
        <v>9.5500000000000007</v>
      </c>
      <c r="O198" s="13">
        <f t="shared" si="20"/>
        <v>68</v>
      </c>
      <c r="P198" s="7">
        <v>10.220000000000001</v>
      </c>
      <c r="Q198" s="12">
        <v>34183.58</v>
      </c>
      <c r="R198" s="11">
        <v>5.1222570000000003</v>
      </c>
      <c r="S198" s="13">
        <f t="shared" si="21"/>
        <v>53.080768821548816</v>
      </c>
      <c r="T198" s="17">
        <f t="shared" si="22"/>
        <v>43.287158020117971</v>
      </c>
    </row>
    <row r="199" spans="1:20" ht="16.5" thickBot="1" x14ac:dyDescent="0.3">
      <c r="A199" s="6" t="s">
        <v>52</v>
      </c>
      <c r="B199" s="2">
        <v>2018</v>
      </c>
      <c r="C199" s="7">
        <v>32922</v>
      </c>
      <c r="D199" s="7">
        <v>89</v>
      </c>
      <c r="E199" s="14">
        <f t="shared" si="18"/>
        <v>22.612224448897795</v>
      </c>
      <c r="F199" s="7">
        <v>68.61</v>
      </c>
      <c r="G199" s="7">
        <v>3.8</v>
      </c>
      <c r="H199" s="13">
        <f t="shared" si="19"/>
        <v>65.461111111111109</v>
      </c>
      <c r="I199" s="7">
        <v>1.27</v>
      </c>
      <c r="J199" s="7">
        <v>25.69</v>
      </c>
      <c r="K199" s="7">
        <v>94.51</v>
      </c>
      <c r="L199" s="13">
        <f t="shared" si="23"/>
        <v>42.332156862745101</v>
      </c>
      <c r="M199" s="7">
        <v>13.14</v>
      </c>
      <c r="N199" s="7">
        <v>9.61</v>
      </c>
      <c r="O199" s="13">
        <f t="shared" si="20"/>
        <v>68.628571428571433</v>
      </c>
      <c r="P199" s="7">
        <v>9.2200000000000006</v>
      </c>
      <c r="Q199" s="12">
        <v>35570.5</v>
      </c>
      <c r="R199" s="11">
        <v>5.1753400000000003</v>
      </c>
      <c r="S199" s="13">
        <f t="shared" si="21"/>
        <v>53.700109197235513</v>
      </c>
      <c r="T199" s="17">
        <f t="shared" si="22"/>
        <v>47.064715404260276</v>
      </c>
    </row>
    <row r="200" spans="1:20" ht="16.5" thickBot="1" x14ac:dyDescent="0.3">
      <c r="A200" s="6" t="s">
        <v>52</v>
      </c>
      <c r="B200" s="2">
        <v>2019</v>
      </c>
      <c r="C200" s="7">
        <v>30831</v>
      </c>
      <c r="D200" s="7">
        <v>70</v>
      </c>
      <c r="E200" s="14">
        <f t="shared" si="18"/>
        <v>34.207414829659321</v>
      </c>
      <c r="F200" s="7">
        <v>68.995000000000005</v>
      </c>
      <c r="G200" s="7">
        <v>4.2300000000000004</v>
      </c>
      <c r="H200" s="13">
        <f t="shared" si="19"/>
        <v>63.713888888888889</v>
      </c>
      <c r="I200" s="7">
        <v>1.24</v>
      </c>
      <c r="J200" s="7">
        <v>50.2</v>
      </c>
      <c r="K200" s="7">
        <v>96.4</v>
      </c>
      <c r="L200" s="13">
        <f t="shared" si="23"/>
        <v>53.003921568627455</v>
      </c>
      <c r="M200" s="7">
        <v>13.15</v>
      </c>
      <c r="N200" s="7">
        <v>9.7100000000000009</v>
      </c>
      <c r="O200" s="13">
        <f t="shared" si="20"/>
        <v>69.392857142857139</v>
      </c>
      <c r="P200" s="7">
        <v>8.83</v>
      </c>
      <c r="Q200" s="12">
        <v>36853.589999999997</v>
      </c>
      <c r="R200" s="11">
        <v>5.2170769999999997</v>
      </c>
      <c r="S200" s="13">
        <f t="shared" si="21"/>
        <v>54.087442133616868</v>
      </c>
      <c r="T200" s="17">
        <f t="shared" si="22"/>
        <v>53.384443118440267</v>
      </c>
    </row>
    <row r="201" spans="1:20" ht="16.5" thickBot="1" x14ac:dyDescent="0.3">
      <c r="A201" s="6" t="s">
        <v>52</v>
      </c>
      <c r="B201" s="2">
        <v>2020</v>
      </c>
      <c r="C201" s="7">
        <v>32990</v>
      </c>
      <c r="D201" s="7">
        <v>62</v>
      </c>
      <c r="E201" s="14">
        <f t="shared" si="18"/>
        <v>36.044088176352709</v>
      </c>
      <c r="F201" s="7">
        <v>69.150000000000006</v>
      </c>
      <c r="G201" s="7">
        <v>4.75</v>
      </c>
      <c r="H201" s="13">
        <f t="shared" si="19"/>
        <v>61.083333333333336</v>
      </c>
      <c r="I201" s="7">
        <v>1.28</v>
      </c>
      <c r="J201" s="7">
        <v>53.39</v>
      </c>
      <c r="K201" s="7">
        <v>96.3</v>
      </c>
      <c r="L201" s="13">
        <f t="shared" si="23"/>
        <v>54.454901960784319</v>
      </c>
      <c r="M201" s="7">
        <v>13.23</v>
      </c>
      <c r="N201" s="7">
        <v>9.83</v>
      </c>
      <c r="O201" s="13">
        <f t="shared" si="20"/>
        <v>70.650000000000006</v>
      </c>
      <c r="P201" s="7">
        <v>8.75</v>
      </c>
      <c r="Q201" s="12">
        <v>36175.160000000003</v>
      </c>
      <c r="R201" s="11">
        <v>-1.07</v>
      </c>
      <c r="S201" s="13">
        <f t="shared" si="21"/>
        <v>49.338261279461278</v>
      </c>
      <c r="T201" s="17">
        <f t="shared" si="22"/>
        <v>52.992932362169157</v>
      </c>
    </row>
    <row r="202" spans="1:20" ht="16.5" thickBot="1" x14ac:dyDescent="0.3">
      <c r="A202" s="6" t="s">
        <v>53</v>
      </c>
      <c r="B202" s="2">
        <v>2015</v>
      </c>
      <c r="C202" s="7">
        <v>9692</v>
      </c>
      <c r="D202" s="7">
        <v>7</v>
      </c>
      <c r="E202" s="14">
        <f t="shared" si="18"/>
        <v>86.888777555110224</v>
      </c>
      <c r="F202" s="7">
        <v>74.680000000000007</v>
      </c>
      <c r="G202" s="7">
        <v>4.6100000000000003</v>
      </c>
      <c r="H202" s="13">
        <f t="shared" si="19"/>
        <v>71.077777777777783</v>
      </c>
      <c r="I202" s="7">
        <v>1.19</v>
      </c>
      <c r="J202" s="7">
        <v>70.09</v>
      </c>
      <c r="K202" s="7">
        <v>99.49</v>
      </c>
      <c r="L202" s="13">
        <f t="shared" si="23"/>
        <v>62.530588235294118</v>
      </c>
      <c r="M202" s="7">
        <v>15.03</v>
      </c>
      <c r="N202" s="7">
        <v>9.59</v>
      </c>
      <c r="O202" s="13">
        <f t="shared" si="20"/>
        <v>77.935714285714283</v>
      </c>
      <c r="P202" s="7">
        <v>14.91</v>
      </c>
      <c r="Q202" s="12">
        <v>22688.36</v>
      </c>
      <c r="R202" s="11">
        <v>4.9516770000000001</v>
      </c>
      <c r="S202" s="13">
        <f t="shared" si="21"/>
        <v>49.358583423710797</v>
      </c>
      <c r="T202" s="17">
        <f t="shared" si="22"/>
        <v>68.293260874435347</v>
      </c>
    </row>
    <row r="203" spans="1:20" ht="16.5" thickBot="1" x14ac:dyDescent="0.3">
      <c r="A203" s="6" t="s">
        <v>53</v>
      </c>
      <c r="B203" s="2">
        <v>2016</v>
      </c>
      <c r="C203" s="7">
        <v>8348</v>
      </c>
      <c r="D203" s="7">
        <v>17</v>
      </c>
      <c r="E203" s="14">
        <f t="shared" si="18"/>
        <v>83.235470941883776</v>
      </c>
      <c r="F203" s="7">
        <v>74.709999999999994</v>
      </c>
      <c r="G203" s="7">
        <v>4.41</v>
      </c>
      <c r="H203" s="13">
        <f t="shared" si="19"/>
        <v>72.23888888888888</v>
      </c>
      <c r="I203" s="7">
        <v>1.18</v>
      </c>
      <c r="J203" s="7">
        <v>78.28</v>
      </c>
      <c r="K203" s="7">
        <v>98.43</v>
      </c>
      <c r="L203" s="13">
        <f t="shared" si="23"/>
        <v>64.969019607843137</v>
      </c>
      <c r="M203" s="7">
        <v>15.23</v>
      </c>
      <c r="N203" s="7">
        <v>9.6199999999999992</v>
      </c>
      <c r="O203" s="13">
        <f t="shared" si="20"/>
        <v>79.149999999999991</v>
      </c>
      <c r="P203" s="7">
        <v>13.34</v>
      </c>
      <c r="Q203" s="12">
        <v>23565.68</v>
      </c>
      <c r="R203" s="11">
        <v>5.0450889999999999</v>
      </c>
      <c r="S203" s="13">
        <f t="shared" si="21"/>
        <v>50.110312815878075</v>
      </c>
      <c r="T203" s="17">
        <f t="shared" si="22"/>
        <v>68.870425941714416</v>
      </c>
    </row>
    <row r="204" spans="1:20" ht="16.5" thickBot="1" x14ac:dyDescent="0.3">
      <c r="A204" s="6" t="s">
        <v>53</v>
      </c>
      <c r="B204" s="2">
        <v>2017</v>
      </c>
      <c r="C204" s="7">
        <v>7251</v>
      </c>
      <c r="D204" s="7">
        <v>22</v>
      </c>
      <c r="E204" s="14">
        <f t="shared" si="18"/>
        <v>81.834669338677358</v>
      </c>
      <c r="F204" s="7">
        <v>74.739999999999995</v>
      </c>
      <c r="G204" s="7">
        <v>4.37</v>
      </c>
      <c r="H204" s="13">
        <f t="shared" si="19"/>
        <v>72.511111111111106</v>
      </c>
      <c r="I204" s="7">
        <v>1.17</v>
      </c>
      <c r="J204" s="7">
        <v>73.040000000000006</v>
      </c>
      <c r="K204" s="7">
        <v>99.9</v>
      </c>
      <c r="L204" s="13">
        <f t="shared" si="23"/>
        <v>63.827450980392165</v>
      </c>
      <c r="M204" s="7">
        <v>15.42</v>
      </c>
      <c r="N204" s="7">
        <v>9.68</v>
      </c>
      <c r="O204" s="13">
        <f t="shared" si="20"/>
        <v>80.528571428571411</v>
      </c>
      <c r="P204" s="7">
        <v>13.02</v>
      </c>
      <c r="Q204" s="12">
        <v>24533.8</v>
      </c>
      <c r="R204" s="11">
        <v>5.2624589999999998</v>
      </c>
      <c r="S204" s="13">
        <f t="shared" si="21"/>
        <v>50.548917352472088</v>
      </c>
      <c r="T204" s="17">
        <f t="shared" si="22"/>
        <v>68.802187934830528</v>
      </c>
    </row>
    <row r="205" spans="1:20" ht="16.5" thickBot="1" x14ac:dyDescent="0.3">
      <c r="A205" s="6" t="s">
        <v>53</v>
      </c>
      <c r="B205" s="2">
        <v>2018</v>
      </c>
      <c r="C205" s="7">
        <v>6731</v>
      </c>
      <c r="D205" s="7">
        <v>24</v>
      </c>
      <c r="E205" s="14">
        <f t="shared" si="18"/>
        <v>81.355711422845687</v>
      </c>
      <c r="F205" s="7">
        <v>74.819999999999993</v>
      </c>
      <c r="G205" s="7">
        <v>4.3099999999999996</v>
      </c>
      <c r="H205" s="13">
        <f t="shared" si="19"/>
        <v>72.97777777777776</v>
      </c>
      <c r="I205" s="7">
        <v>1.1599999999999999</v>
      </c>
      <c r="J205" s="7">
        <v>55.7</v>
      </c>
      <c r="K205" s="7">
        <v>100</v>
      </c>
      <c r="L205" s="13">
        <f t="shared" si="23"/>
        <v>57.02745098039216</v>
      </c>
      <c r="M205" s="7">
        <v>15.56</v>
      </c>
      <c r="N205" s="7">
        <v>9.73</v>
      </c>
      <c r="O205" s="13">
        <f t="shared" si="20"/>
        <v>81.585714285714289</v>
      </c>
      <c r="P205" s="7">
        <v>12.13</v>
      </c>
      <c r="Q205" s="12">
        <v>25776.31</v>
      </c>
      <c r="R205" s="11">
        <v>6.2012510000000001</v>
      </c>
      <c r="S205" s="13">
        <f t="shared" si="21"/>
        <v>51.761966344143183</v>
      </c>
      <c r="T205" s="17">
        <f t="shared" si="22"/>
        <v>67.773124107348281</v>
      </c>
    </row>
    <row r="206" spans="1:20" ht="16.5" thickBot="1" x14ac:dyDescent="0.3">
      <c r="A206" s="6" t="s">
        <v>53</v>
      </c>
      <c r="B206" s="2">
        <v>2019</v>
      </c>
      <c r="C206" s="7">
        <v>6650</v>
      </c>
      <c r="D206" s="7">
        <v>20</v>
      </c>
      <c r="E206" s="14">
        <f t="shared" si="18"/>
        <v>83.436873747495</v>
      </c>
      <c r="F206" s="7">
        <v>74.944999999999993</v>
      </c>
      <c r="G206" s="7">
        <v>4.6100000000000003</v>
      </c>
      <c r="H206" s="13">
        <f t="shared" si="19"/>
        <v>71.519444444444417</v>
      </c>
      <c r="I206" s="7">
        <v>1.1499999999999999</v>
      </c>
      <c r="J206" s="7">
        <v>74.900000000000006</v>
      </c>
      <c r="K206" s="7">
        <v>100</v>
      </c>
      <c r="L206" s="13">
        <f t="shared" si="23"/>
        <v>64.490196078431367</v>
      </c>
      <c r="M206" s="7">
        <v>15.58</v>
      </c>
      <c r="N206" s="7">
        <v>9.83</v>
      </c>
      <c r="O206" s="13">
        <f t="shared" si="20"/>
        <v>82.4</v>
      </c>
      <c r="P206" s="7">
        <v>11.7</v>
      </c>
      <c r="Q206" s="12">
        <v>27008.68</v>
      </c>
      <c r="R206" s="11">
        <v>6.5938230000000004</v>
      </c>
      <c r="S206" s="13">
        <f t="shared" si="21"/>
        <v>52.413746826156306</v>
      </c>
      <c r="T206" s="17">
        <f t="shared" si="22"/>
        <v>69.844088547311728</v>
      </c>
    </row>
    <row r="207" spans="1:20" ht="16.5" thickBot="1" x14ac:dyDescent="0.3">
      <c r="A207" s="6" t="s">
        <v>53</v>
      </c>
      <c r="B207" s="2">
        <v>2020</v>
      </c>
      <c r="C207" s="7">
        <v>7721</v>
      </c>
      <c r="D207" s="7">
        <v>18</v>
      </c>
      <c r="E207" s="14">
        <f t="shared" si="18"/>
        <v>83.363727454909821</v>
      </c>
      <c r="F207" s="7">
        <v>75.025000000000006</v>
      </c>
      <c r="G207" s="7">
        <v>3.9</v>
      </c>
      <c r="H207" s="13">
        <f t="shared" si="19"/>
        <v>75.597222222222229</v>
      </c>
      <c r="I207" s="7">
        <v>0.57999999999999996</v>
      </c>
      <c r="J207" s="7">
        <v>78.930000000000007</v>
      </c>
      <c r="K207" s="7">
        <v>100</v>
      </c>
      <c r="L207" s="13">
        <f t="shared" si="23"/>
        <v>62.27058823529412</v>
      </c>
      <c r="M207" s="7">
        <v>15.59</v>
      </c>
      <c r="N207" s="7">
        <v>9.9499999999999993</v>
      </c>
      <c r="O207" s="13">
        <f t="shared" si="20"/>
        <v>83.30714285714285</v>
      </c>
      <c r="P207" s="7">
        <v>12.28</v>
      </c>
      <c r="Q207" s="12">
        <v>27750.38</v>
      </c>
      <c r="R207" s="11">
        <v>-2.68</v>
      </c>
      <c r="S207" s="13">
        <f t="shared" si="21"/>
        <v>45.479084919369136</v>
      </c>
      <c r="T207" s="17">
        <f t="shared" si="22"/>
        <v>68.304918546326022</v>
      </c>
    </row>
    <row r="208" spans="1:20" x14ac:dyDescent="0.25">
      <c r="A208" s="8"/>
      <c r="B208" s="8"/>
      <c r="C208" s="8"/>
      <c r="D208" s="8"/>
    </row>
    <row r="209" spans="1:19" x14ac:dyDescent="0.25">
      <c r="A209" s="9"/>
      <c r="B209" s="9"/>
      <c r="C209" s="9"/>
      <c r="D209" s="9"/>
      <c r="H209" s="44">
        <f>AVERAGE(H28:H33)</f>
        <v>74.808333333333337</v>
      </c>
      <c r="I209" s="44"/>
      <c r="J209" s="44"/>
      <c r="K209" s="44"/>
      <c r="L209" s="44"/>
      <c r="M209" s="44"/>
      <c r="N209" s="44"/>
      <c r="O209" s="44">
        <f t="shared" ref="O209:S209" si="24">AVERAGE(O28:O33)</f>
        <v>77.245238095238093</v>
      </c>
      <c r="P209" s="44"/>
      <c r="Q209" s="44"/>
      <c r="R209" s="44"/>
      <c r="S209" s="44">
        <f t="shared" si="24"/>
        <v>76.936497673223457</v>
      </c>
    </row>
    <row r="210" spans="1:19" x14ac:dyDescent="0.25">
      <c r="A210" s="8"/>
      <c r="B210" s="8"/>
      <c r="C210" s="8"/>
      <c r="D210" s="8"/>
      <c r="H210" s="44">
        <f>AVERAGE(H202:H207)</f>
        <v>72.653703703703698</v>
      </c>
      <c r="I210" s="44"/>
      <c r="J210" s="44"/>
      <c r="K210" s="44"/>
      <c r="L210" s="44"/>
      <c r="M210" s="44"/>
      <c r="N210" s="44"/>
      <c r="O210" s="44">
        <f t="shared" ref="O210:S210" si="25">AVERAGE(O202:O207)</f>
        <v>80.817857142857136</v>
      </c>
      <c r="P210" s="44"/>
      <c r="Q210" s="44"/>
      <c r="R210" s="44"/>
      <c r="S210" s="44">
        <f t="shared" si="25"/>
        <v>49.945435280288272</v>
      </c>
    </row>
    <row r="211" spans="1:19" x14ac:dyDescent="0.25">
      <c r="A211" s="8"/>
      <c r="B211" s="8"/>
      <c r="C211" s="8"/>
      <c r="D211" s="8"/>
    </row>
    <row r="212" spans="1:19" x14ac:dyDescent="0.25">
      <c r="A212" s="8"/>
      <c r="B212" s="8"/>
      <c r="C212" s="8"/>
      <c r="D212" s="8"/>
    </row>
    <row r="213" spans="1:19" x14ac:dyDescent="0.25">
      <c r="A213" s="8"/>
      <c r="B213" s="8"/>
      <c r="C213" s="8"/>
      <c r="D213" s="8"/>
    </row>
    <row r="214" spans="1:19" x14ac:dyDescent="0.25">
      <c r="A214" s="8"/>
      <c r="B214" s="8"/>
      <c r="C214" s="8"/>
      <c r="D214" s="8"/>
    </row>
    <row r="215" spans="1:19" x14ac:dyDescent="0.25">
      <c r="A215" s="8"/>
      <c r="B215" s="8"/>
      <c r="C215" s="8"/>
      <c r="D215" s="8"/>
    </row>
    <row r="216" spans="1:19" x14ac:dyDescent="0.25">
      <c r="A216" s="8"/>
      <c r="B216" s="8"/>
      <c r="C216" s="8"/>
      <c r="D216" s="8"/>
    </row>
    <row r="217" spans="1:19" x14ac:dyDescent="0.25">
      <c r="A217" s="8"/>
      <c r="B217" s="8"/>
      <c r="C217" s="8"/>
      <c r="D217" s="8"/>
    </row>
    <row r="218" spans="1:19" x14ac:dyDescent="0.25">
      <c r="A218" s="8"/>
      <c r="B218" s="8"/>
      <c r="C218" s="8"/>
      <c r="D218" s="8"/>
    </row>
    <row r="219" spans="1:19" x14ac:dyDescent="0.25">
      <c r="A219" s="8"/>
      <c r="B219" s="8"/>
      <c r="C219" s="8"/>
      <c r="D219" s="8"/>
    </row>
    <row r="220" spans="1:19" x14ac:dyDescent="0.25">
      <c r="A220" s="8"/>
      <c r="B220" s="8"/>
      <c r="C220" s="8"/>
      <c r="D220" s="8"/>
    </row>
    <row r="221" spans="1:19" x14ac:dyDescent="0.25">
      <c r="A221" s="8"/>
      <c r="B221" s="8"/>
      <c r="C221" s="8"/>
      <c r="D221" s="8"/>
    </row>
    <row r="222" spans="1:19" x14ac:dyDescent="0.25">
      <c r="A222" s="8"/>
      <c r="B222" s="8"/>
      <c r="C222" s="8"/>
      <c r="D222" s="8"/>
      <c r="F222" s="36"/>
      <c r="G222" s="36"/>
      <c r="H222" s="36"/>
      <c r="I222" s="36"/>
      <c r="J222" s="36"/>
    </row>
    <row r="223" spans="1:19" x14ac:dyDescent="0.25">
      <c r="A223" s="8"/>
      <c r="B223" s="8"/>
      <c r="C223" s="8"/>
      <c r="D223" s="8"/>
    </row>
    <row r="224" spans="1:19" x14ac:dyDescent="0.25">
      <c r="A224" s="8"/>
      <c r="B224" s="8"/>
      <c r="C224" s="8"/>
      <c r="D224" s="8"/>
    </row>
    <row r="225" spans="1:10" x14ac:dyDescent="0.25">
      <c r="A225" s="8"/>
      <c r="B225" s="8"/>
      <c r="C225" s="8"/>
      <c r="D225" s="8"/>
    </row>
    <row r="226" spans="1:10" x14ac:dyDescent="0.25">
      <c r="A226" s="8"/>
      <c r="B226" s="8"/>
      <c r="C226" s="8"/>
      <c r="D226" s="8"/>
    </row>
    <row r="227" spans="1:10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</row>
    <row r="228" spans="1:10" x14ac:dyDescent="0.25">
      <c r="A228" s="8"/>
      <c r="B228" s="8"/>
      <c r="C228" s="8"/>
      <c r="D228" s="8"/>
      <c r="E228" s="8"/>
      <c r="F228" s="8"/>
      <c r="G228" s="8"/>
      <c r="H228" s="8"/>
      <c r="I228" s="8"/>
    </row>
    <row r="229" spans="1:10" x14ac:dyDescent="0.25">
      <c r="A229" s="8"/>
      <c r="B229" s="8"/>
      <c r="C229" s="8"/>
      <c r="D229" s="8"/>
    </row>
    <row r="230" spans="1:10" x14ac:dyDescent="0.25">
      <c r="A230" s="8"/>
      <c r="B230" s="8"/>
      <c r="C230" s="8"/>
      <c r="D230" s="8"/>
    </row>
    <row r="231" spans="1:10" x14ac:dyDescent="0.25">
      <c r="A231" s="8"/>
      <c r="B231" s="8"/>
      <c r="C231" s="8"/>
      <c r="D231" s="8"/>
    </row>
    <row r="232" spans="1:10" x14ac:dyDescent="0.25">
      <c r="A232" s="8"/>
      <c r="B232" s="8"/>
      <c r="C232" s="8"/>
      <c r="D232" s="8"/>
    </row>
    <row r="233" spans="1:10" x14ac:dyDescent="0.25">
      <c r="A233" s="8"/>
      <c r="B233" s="8"/>
      <c r="C233" s="8"/>
      <c r="D233" s="8"/>
    </row>
    <row r="234" spans="1:10" x14ac:dyDescent="0.25">
      <c r="A234" s="8"/>
      <c r="B234" s="8"/>
      <c r="C234" s="8"/>
      <c r="D234" s="8"/>
    </row>
    <row r="235" spans="1:10" x14ac:dyDescent="0.25">
      <c r="A235" s="8"/>
      <c r="B235" s="8"/>
      <c r="C235" s="8"/>
      <c r="D235" s="8"/>
    </row>
    <row r="236" spans="1:10" x14ac:dyDescent="0.25">
      <c r="A236" s="8"/>
      <c r="B236" s="8"/>
      <c r="C236" s="8"/>
      <c r="D236" s="8"/>
    </row>
    <row r="237" spans="1:10" x14ac:dyDescent="0.25">
      <c r="A237" s="8"/>
      <c r="B237" s="8"/>
      <c r="C237" s="8"/>
      <c r="D237" s="8"/>
    </row>
    <row r="238" spans="1:10" x14ac:dyDescent="0.25">
      <c r="A238" s="8"/>
      <c r="B238" s="8"/>
      <c r="C238" s="8"/>
      <c r="D238" s="8"/>
    </row>
    <row r="239" spans="1:10" x14ac:dyDescent="0.25">
      <c r="A239" s="8"/>
      <c r="B239" s="8"/>
      <c r="C239" s="8"/>
      <c r="D239" s="8"/>
    </row>
    <row r="240" spans="1:10" x14ac:dyDescent="0.25">
      <c r="A240" s="8"/>
      <c r="B240" s="8"/>
      <c r="C240" s="8"/>
      <c r="D240" s="8"/>
    </row>
    <row r="241" spans="1:4" x14ac:dyDescent="0.25">
      <c r="A241" s="8"/>
      <c r="B241" s="8"/>
      <c r="C241" s="8"/>
      <c r="D241" s="8"/>
    </row>
    <row r="242" spans="1:4" x14ac:dyDescent="0.25">
      <c r="A242" s="8"/>
      <c r="B242" s="8"/>
      <c r="C242" s="8"/>
      <c r="D242" s="8"/>
    </row>
    <row r="243" spans="1:4" x14ac:dyDescent="0.25">
      <c r="A243" s="8"/>
      <c r="B243" s="8"/>
      <c r="C243" s="8"/>
      <c r="D243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7"/>
  <sheetViews>
    <sheetView workbookViewId="0">
      <selection activeCell="I6" sqref="I1:I1048576"/>
    </sheetView>
  </sheetViews>
  <sheetFormatPr defaultRowHeight="15.75" x14ac:dyDescent="0.25"/>
  <cols>
    <col min="2" max="2" width="27.140625" style="21" customWidth="1"/>
    <col min="3" max="7" width="9.140625" style="22"/>
    <col min="9" max="9" width="9.140625" style="38"/>
    <col min="11" max="11" width="27.28515625" customWidth="1"/>
    <col min="13" max="13" width="9.140625" style="38"/>
  </cols>
  <sheetData>
    <row r="1" spans="2:13" s="10" customFormat="1" x14ac:dyDescent="0.25">
      <c r="B1" s="21"/>
      <c r="C1" s="22"/>
      <c r="D1" s="22"/>
      <c r="E1" s="22"/>
      <c r="F1" s="22"/>
      <c r="G1" s="22"/>
      <c r="I1" s="37"/>
      <c r="M1" s="37"/>
    </row>
    <row r="2" spans="2:13" ht="16.5" thickBot="1" x14ac:dyDescent="0.3">
      <c r="B2" s="45" t="s">
        <v>88</v>
      </c>
      <c r="C2" s="46" t="s">
        <v>19</v>
      </c>
      <c r="D2" s="47"/>
      <c r="E2" s="47"/>
      <c r="F2" s="47"/>
      <c r="G2" s="47"/>
      <c r="H2" s="48"/>
    </row>
    <row r="3" spans="2:13" ht="16.5" thickBot="1" x14ac:dyDescent="0.3">
      <c r="B3" s="45"/>
      <c r="C3" s="41">
        <v>2015</v>
      </c>
      <c r="D3" s="41">
        <v>2016</v>
      </c>
      <c r="E3" s="41">
        <v>2017</v>
      </c>
      <c r="F3" s="41">
        <v>2018</v>
      </c>
      <c r="G3" s="41">
        <v>2019</v>
      </c>
      <c r="H3" s="41">
        <v>2020</v>
      </c>
      <c r="I3" s="41" t="s">
        <v>101</v>
      </c>
      <c r="K3" s="30" t="s">
        <v>0</v>
      </c>
      <c r="L3" s="31" t="s">
        <v>1</v>
      </c>
      <c r="M3" s="32" t="s">
        <v>19</v>
      </c>
    </row>
    <row r="4" spans="2:13" ht="16.5" thickBot="1" x14ac:dyDescent="0.3">
      <c r="B4" s="26" t="s">
        <v>20</v>
      </c>
      <c r="C4" s="35">
        <f>VLOOKUP(C3,$L$4:$M$9,2,0)</f>
        <v>63.36</v>
      </c>
      <c r="D4" s="35">
        <f t="shared" ref="D4:H4" si="0">VLOOKUP(D3,$L$4:$M$9,2,0)</f>
        <v>63.57</v>
      </c>
      <c r="E4" s="35">
        <f t="shared" si="0"/>
        <v>64.97</v>
      </c>
      <c r="F4" s="35">
        <f t="shared" si="0"/>
        <v>61.09</v>
      </c>
      <c r="G4" s="35">
        <f t="shared" si="0"/>
        <v>65.36</v>
      </c>
      <c r="H4" s="35">
        <f t="shared" si="0"/>
        <v>64.83</v>
      </c>
      <c r="I4" s="35">
        <f t="shared" ref="I4:I37" si="1">(C4+D4+E4+F4+G4+H4)/6</f>
        <v>63.863333333333337</v>
      </c>
      <c r="K4" s="33" t="s">
        <v>20</v>
      </c>
      <c r="L4" s="31">
        <v>2015</v>
      </c>
      <c r="M4" s="39">
        <v>63.36</v>
      </c>
    </row>
    <row r="5" spans="2:13" ht="16.5" thickBot="1" x14ac:dyDescent="0.3">
      <c r="B5" s="26" t="s">
        <v>21</v>
      </c>
      <c r="C5" s="35">
        <f>VLOOKUP(C3,$L$10:$M$15,2,0)</f>
        <v>63.95</v>
      </c>
      <c r="D5" s="35">
        <f t="shared" ref="D5:H5" si="2">VLOOKUP(D3,$L$10:$M$15,2,0)</f>
        <v>63.17</v>
      </c>
      <c r="E5" s="35">
        <f t="shared" si="2"/>
        <v>63.5</v>
      </c>
      <c r="F5" s="35">
        <f t="shared" si="2"/>
        <v>61.54</v>
      </c>
      <c r="G5" s="35">
        <f t="shared" si="2"/>
        <v>67.260000000000005</v>
      </c>
      <c r="H5" s="35">
        <f t="shared" si="2"/>
        <v>64.23</v>
      </c>
      <c r="I5" s="35">
        <f t="shared" si="1"/>
        <v>63.94166666666667</v>
      </c>
      <c r="K5" s="33" t="s">
        <v>20</v>
      </c>
      <c r="L5" s="31">
        <v>2016</v>
      </c>
      <c r="M5" s="34">
        <v>63.57</v>
      </c>
    </row>
    <row r="6" spans="2:13" ht="16.5" thickBot="1" x14ac:dyDescent="0.3">
      <c r="B6" s="26" t="s">
        <v>22</v>
      </c>
      <c r="C6" s="35">
        <f>VLOOKUP(C3,$L$16:$M$21,2,0)</f>
        <v>60.83</v>
      </c>
      <c r="D6" s="35">
        <f t="shared" ref="D6:H6" si="3">VLOOKUP(D3,$L$16:$M$21,2,0)</f>
        <v>63.27</v>
      </c>
      <c r="E6" s="35">
        <f t="shared" si="3"/>
        <v>63.33</v>
      </c>
      <c r="F6" s="35">
        <f t="shared" si="3"/>
        <v>61.27</v>
      </c>
      <c r="G6" s="35">
        <f t="shared" si="3"/>
        <v>63.5</v>
      </c>
      <c r="H6" s="35">
        <f t="shared" si="3"/>
        <v>60.88</v>
      </c>
      <c r="I6" s="35">
        <f t="shared" si="1"/>
        <v>62.180000000000007</v>
      </c>
      <c r="K6" s="33" t="s">
        <v>20</v>
      </c>
      <c r="L6" s="31">
        <v>2017</v>
      </c>
      <c r="M6" s="34">
        <v>64.97</v>
      </c>
    </row>
    <row r="7" spans="2:13" ht="16.5" thickBot="1" x14ac:dyDescent="0.3">
      <c r="B7" s="26" t="s">
        <v>23</v>
      </c>
      <c r="C7" s="35">
        <f>VLOOKUP(C3,$L$22:$M$27,2,0)</f>
        <v>59.97</v>
      </c>
      <c r="D7" s="35">
        <f t="shared" ref="D7:H7" si="4">VLOOKUP(D3,$L$22:$M$27,2,0)</f>
        <v>61.39</v>
      </c>
      <c r="E7" s="35">
        <f t="shared" si="4"/>
        <v>64.2</v>
      </c>
      <c r="F7" s="35">
        <f t="shared" si="4"/>
        <v>61.49</v>
      </c>
      <c r="G7" s="35">
        <f t="shared" si="4"/>
        <v>63.48</v>
      </c>
      <c r="H7" s="35">
        <f t="shared" si="4"/>
        <v>63.37</v>
      </c>
      <c r="I7" s="35">
        <f t="shared" si="1"/>
        <v>62.31666666666667</v>
      </c>
      <c r="K7" s="33" t="s">
        <v>20</v>
      </c>
      <c r="L7" s="31">
        <v>2018</v>
      </c>
      <c r="M7" s="34">
        <v>61.09</v>
      </c>
    </row>
    <row r="8" spans="2:13" ht="16.5" thickBot="1" x14ac:dyDescent="0.3">
      <c r="B8" s="26" t="s">
        <v>24</v>
      </c>
      <c r="C8" s="35">
        <f>VLOOKUP(C3,$L$28:$M$33,2,0)</f>
        <v>64</v>
      </c>
      <c r="D8" s="35">
        <f t="shared" ref="D8:H8" si="5">VLOOKUP(D3,$L$28:$M$33,2,0)</f>
        <v>64.59</v>
      </c>
      <c r="E8" s="35">
        <f t="shared" si="5"/>
        <v>64.55</v>
      </c>
      <c r="F8" s="35">
        <f t="shared" si="5"/>
        <v>66.58</v>
      </c>
      <c r="G8" s="35">
        <f t="shared" si="5"/>
        <v>69.89</v>
      </c>
      <c r="H8" s="35">
        <f t="shared" si="5"/>
        <v>70.38</v>
      </c>
      <c r="I8" s="35">
        <f t="shared" si="1"/>
        <v>66.664999999999992</v>
      </c>
      <c r="K8" s="33" t="s">
        <v>20</v>
      </c>
      <c r="L8" s="31">
        <v>2019</v>
      </c>
      <c r="M8" s="34">
        <v>65.36</v>
      </c>
    </row>
    <row r="9" spans="2:13" ht="16.5" thickBot="1" x14ac:dyDescent="0.3">
      <c r="B9" s="26" t="s">
        <v>25</v>
      </c>
      <c r="C9" s="35">
        <f>VLOOKUP(C3,$L$34:$M$39,2,0)</f>
        <v>51.16</v>
      </c>
      <c r="D9" s="35">
        <f t="shared" ref="D9:H9" si="6">VLOOKUP(D3,$L$34:$M$39,2,0)</f>
        <v>54.54</v>
      </c>
      <c r="E9" s="35">
        <f t="shared" si="6"/>
        <v>52.14</v>
      </c>
      <c r="F9" s="35">
        <f t="shared" si="6"/>
        <v>55.57</v>
      </c>
      <c r="G9" s="35">
        <f t="shared" si="6"/>
        <v>57.65</v>
      </c>
      <c r="H9" s="35">
        <f t="shared" si="6"/>
        <v>59.43</v>
      </c>
      <c r="I9" s="35">
        <f t="shared" si="1"/>
        <v>55.081666666666656</v>
      </c>
      <c r="K9" s="33" t="s">
        <v>20</v>
      </c>
      <c r="L9" s="31">
        <v>2020</v>
      </c>
      <c r="M9" s="34">
        <v>64.83</v>
      </c>
    </row>
    <row r="10" spans="2:13" ht="16.5" thickBot="1" x14ac:dyDescent="0.3">
      <c r="B10" s="26" t="s">
        <v>26</v>
      </c>
      <c r="C10" s="35">
        <f>VLOOKUP(C3,$L$40:$M$45,2,0)</f>
        <v>60.27</v>
      </c>
      <c r="D10" s="35">
        <f t="shared" ref="D10:H10" si="7">VLOOKUP(D3,$L$40:$M$45,2,0)</f>
        <v>61.2</v>
      </c>
      <c r="E10" s="35">
        <f t="shared" si="7"/>
        <v>61.78</v>
      </c>
      <c r="F10" s="35">
        <f t="shared" si="7"/>
        <v>62.7</v>
      </c>
      <c r="G10" s="35">
        <f t="shared" si="7"/>
        <v>63.66</v>
      </c>
      <c r="H10" s="35">
        <f t="shared" si="7"/>
        <v>61.81</v>
      </c>
      <c r="I10" s="35">
        <f t="shared" si="1"/>
        <v>61.903333333333336</v>
      </c>
      <c r="K10" s="33" t="s">
        <v>21</v>
      </c>
      <c r="L10" s="31">
        <v>2015</v>
      </c>
      <c r="M10" s="34">
        <v>63.95</v>
      </c>
    </row>
    <row r="11" spans="2:13" ht="16.5" thickBot="1" x14ac:dyDescent="0.3">
      <c r="B11" s="26" t="s">
        <v>27</v>
      </c>
      <c r="C11" s="35">
        <f>VLOOKUP(C3,$L$46:$M$51,2,0)</f>
        <v>58.11</v>
      </c>
      <c r="D11" s="35">
        <f t="shared" ref="D11:H11" si="8">VLOOKUP(D3,$L$46:$M$51,2,0)</f>
        <v>56.91</v>
      </c>
      <c r="E11" s="35">
        <f t="shared" si="8"/>
        <v>55.27</v>
      </c>
      <c r="F11" s="35">
        <f t="shared" si="8"/>
        <v>58.09</v>
      </c>
      <c r="G11" s="35">
        <f t="shared" si="8"/>
        <v>60.1</v>
      </c>
      <c r="H11" s="35">
        <f t="shared" si="8"/>
        <v>58.52</v>
      </c>
      <c r="I11" s="35">
        <f t="shared" si="1"/>
        <v>57.833333333333336</v>
      </c>
      <c r="K11" s="33" t="s">
        <v>21</v>
      </c>
      <c r="L11" s="31">
        <v>2016</v>
      </c>
      <c r="M11" s="34">
        <v>63.17</v>
      </c>
    </row>
    <row r="12" spans="2:13" ht="16.5" thickBot="1" x14ac:dyDescent="0.3">
      <c r="B12" s="26" t="s">
        <v>28</v>
      </c>
      <c r="C12" s="35">
        <f>VLOOKUP(C3,$L$52:$M$57,2,0)</f>
        <v>59.8</v>
      </c>
      <c r="D12" s="35">
        <f t="shared" ref="D12:H12" si="9">VLOOKUP(D3,$L$52:$M$57,2,0)</f>
        <v>59.29</v>
      </c>
      <c r="E12" s="35">
        <f t="shared" si="9"/>
        <v>59.93</v>
      </c>
      <c r="F12" s="35">
        <f t="shared" si="9"/>
        <v>60.3</v>
      </c>
      <c r="G12" s="35">
        <f t="shared" si="9"/>
        <v>62.27</v>
      </c>
      <c r="H12" s="35">
        <f t="shared" si="9"/>
        <v>60.93</v>
      </c>
      <c r="I12" s="35">
        <f t="shared" si="1"/>
        <v>60.419999999999995</v>
      </c>
      <c r="K12" s="33" t="s">
        <v>21</v>
      </c>
      <c r="L12" s="31">
        <v>2017</v>
      </c>
      <c r="M12" s="34">
        <v>63.5</v>
      </c>
    </row>
    <row r="13" spans="2:13" ht="16.5" thickBot="1" x14ac:dyDescent="0.3">
      <c r="B13" s="26" t="s">
        <v>29</v>
      </c>
      <c r="C13" s="35">
        <f>VLOOKUP(C3,$L$58:$M$63,2,0)</f>
        <v>42.28</v>
      </c>
      <c r="D13" s="35">
        <f t="shared" ref="D13:H13" si="10">VLOOKUP(D3,$L$58:$M$63,2,0)</f>
        <v>54.09</v>
      </c>
      <c r="E13" s="35">
        <f t="shared" si="10"/>
        <v>48.89</v>
      </c>
      <c r="F13" s="35">
        <f t="shared" si="10"/>
        <v>52.26</v>
      </c>
      <c r="G13" s="35">
        <f t="shared" si="10"/>
        <v>54.56</v>
      </c>
      <c r="H13" s="35">
        <f t="shared" si="10"/>
        <v>55.82</v>
      </c>
      <c r="I13" s="35">
        <f t="shared" si="1"/>
        <v>51.316666666666663</v>
      </c>
      <c r="K13" s="33" t="s">
        <v>21</v>
      </c>
      <c r="L13" s="31">
        <v>2018</v>
      </c>
      <c r="M13" s="34">
        <v>61.54</v>
      </c>
    </row>
    <row r="14" spans="2:13" ht="16.5" thickBot="1" x14ac:dyDescent="0.3">
      <c r="B14" s="26" t="s">
        <v>30</v>
      </c>
      <c r="C14" s="35">
        <f>VLOOKUP(C3,$L$64:$M$69,2,0)</f>
        <v>56.04</v>
      </c>
      <c r="D14" s="35">
        <f t="shared" ref="D14:H14" si="11">VLOOKUP(D3,$L$64:$M$69,2,0)</f>
        <v>57.36</v>
      </c>
      <c r="E14" s="35">
        <f t="shared" si="11"/>
        <v>56.32</v>
      </c>
      <c r="F14" s="35">
        <f t="shared" si="11"/>
        <v>57.95</v>
      </c>
      <c r="G14" s="35">
        <f t="shared" si="11"/>
        <v>60.12</v>
      </c>
      <c r="H14" s="35">
        <f t="shared" si="11"/>
        <v>60.29</v>
      </c>
      <c r="I14" s="35">
        <f t="shared" si="1"/>
        <v>58.013333333333343</v>
      </c>
      <c r="K14" s="33" t="s">
        <v>21</v>
      </c>
      <c r="L14" s="31">
        <v>2019</v>
      </c>
      <c r="M14" s="34">
        <v>67.260000000000005</v>
      </c>
    </row>
    <row r="15" spans="2:13" ht="16.5" thickBot="1" x14ac:dyDescent="0.3">
      <c r="B15" s="26" t="s">
        <v>31</v>
      </c>
      <c r="C15" s="35">
        <f>VLOOKUP(C3,$L$70:$M$75,2,0)</f>
        <v>55.34</v>
      </c>
      <c r="D15" s="35">
        <f t="shared" ref="D15:H15" si="12">VLOOKUP(D3,$L$70:$M$75,2,0)</f>
        <v>58.41</v>
      </c>
      <c r="E15" s="35">
        <f t="shared" si="12"/>
        <v>57.36</v>
      </c>
      <c r="F15" s="35">
        <f t="shared" si="12"/>
        <v>58.45</v>
      </c>
      <c r="G15" s="35">
        <f t="shared" si="12"/>
        <v>58.48</v>
      </c>
      <c r="H15" s="35">
        <f t="shared" si="12"/>
        <v>56.91</v>
      </c>
      <c r="I15" s="35">
        <f t="shared" si="1"/>
        <v>57.491666666666674</v>
      </c>
      <c r="K15" s="33" t="s">
        <v>21</v>
      </c>
      <c r="L15" s="31">
        <v>2020</v>
      </c>
      <c r="M15" s="34">
        <v>64.23</v>
      </c>
    </row>
    <row r="16" spans="2:13" ht="16.5" thickBot="1" x14ac:dyDescent="0.3">
      <c r="B16" s="26" t="s">
        <v>32</v>
      </c>
      <c r="C16" s="35">
        <f>VLOOKUP(C3,$L$76:$M$81,2,0)</f>
        <v>58.88</v>
      </c>
      <c r="D16" s="35">
        <f t="shared" ref="D16:H16" si="13">VLOOKUP(D3,$L$76:$M$81,2,0)</f>
        <v>60.97</v>
      </c>
      <c r="E16" s="35">
        <f t="shared" si="13"/>
        <v>58.74</v>
      </c>
      <c r="F16" s="35">
        <f t="shared" si="13"/>
        <v>58.58</v>
      </c>
      <c r="G16" s="35">
        <f t="shared" si="13"/>
        <v>60.67</v>
      </c>
      <c r="H16" s="35">
        <f t="shared" si="13"/>
        <v>60.3</v>
      </c>
      <c r="I16" s="35">
        <f t="shared" si="1"/>
        <v>59.690000000000005</v>
      </c>
      <c r="K16" s="33" t="s">
        <v>22</v>
      </c>
      <c r="L16" s="31">
        <v>2015</v>
      </c>
      <c r="M16" s="34">
        <v>60.83</v>
      </c>
    </row>
    <row r="17" spans="2:13" ht="16.5" thickBot="1" x14ac:dyDescent="0.3">
      <c r="B17" s="26" t="s">
        <v>33</v>
      </c>
      <c r="C17" s="35">
        <f>VLOOKUP(C3,$L$82:$M$87,2,0)</f>
        <v>67.67</v>
      </c>
      <c r="D17" s="35">
        <f t="shared" ref="D17:H17" si="14">VLOOKUP(D3,$L$82:$M$87,2,0)</f>
        <v>66.650000000000006</v>
      </c>
      <c r="E17" s="35">
        <f t="shared" si="14"/>
        <v>65.28</v>
      </c>
      <c r="F17" s="35">
        <f t="shared" si="14"/>
        <v>66.099999999999994</v>
      </c>
      <c r="G17" s="35">
        <f t="shared" si="14"/>
        <v>69.61</v>
      </c>
      <c r="H17" s="35">
        <f t="shared" si="14"/>
        <v>70.97</v>
      </c>
      <c r="I17" s="35">
        <f t="shared" si="1"/>
        <v>67.713333333333324</v>
      </c>
      <c r="K17" s="33" t="s">
        <v>22</v>
      </c>
      <c r="L17" s="31">
        <v>2016</v>
      </c>
      <c r="M17" s="34">
        <v>63.27</v>
      </c>
    </row>
    <row r="18" spans="2:13" ht="16.5" thickBot="1" x14ac:dyDescent="0.3">
      <c r="B18" s="26" t="s">
        <v>34</v>
      </c>
      <c r="C18" s="35">
        <f>VLOOKUP(C3,$L$88:$M$93,2,0)</f>
        <v>67.78</v>
      </c>
      <c r="D18" s="35">
        <f t="shared" ref="D18:H18" si="15">VLOOKUP(D3,$L$88:$M$93,2,0)</f>
        <v>68.22</v>
      </c>
      <c r="E18" s="35">
        <f t="shared" si="15"/>
        <v>64.48</v>
      </c>
      <c r="F18" s="35">
        <f t="shared" si="15"/>
        <v>66.52</v>
      </c>
      <c r="G18" s="35">
        <f t="shared" si="15"/>
        <v>73.73</v>
      </c>
      <c r="H18" s="35">
        <f t="shared" si="15"/>
        <v>70.56</v>
      </c>
      <c r="I18" s="35">
        <f t="shared" si="1"/>
        <v>68.548333333333332</v>
      </c>
      <c r="K18" s="33" t="s">
        <v>22</v>
      </c>
      <c r="L18" s="31">
        <v>2017</v>
      </c>
      <c r="M18" s="34">
        <v>63.33</v>
      </c>
    </row>
    <row r="19" spans="2:13" ht="16.5" thickBot="1" x14ac:dyDescent="0.3">
      <c r="B19" s="26" t="s">
        <v>35</v>
      </c>
      <c r="C19" s="35">
        <f>VLOOKUP(C3,$L$94:$M$99,2,0)</f>
        <v>61.33</v>
      </c>
      <c r="D19" s="35">
        <f t="shared" ref="D19:H19" si="16">VLOOKUP(D3,$L$94:$M$99,2,0)</f>
        <v>62.42</v>
      </c>
      <c r="E19" s="35">
        <f t="shared" si="16"/>
        <v>63.31</v>
      </c>
      <c r="F19" s="35">
        <f t="shared" si="16"/>
        <v>61.96</v>
      </c>
      <c r="G19" s="35">
        <f t="shared" si="16"/>
        <v>63.5</v>
      </c>
      <c r="H19" s="35">
        <f t="shared" si="16"/>
        <v>63.02</v>
      </c>
      <c r="I19" s="35">
        <f t="shared" si="1"/>
        <v>62.589999999999996</v>
      </c>
      <c r="K19" s="33" t="s">
        <v>22</v>
      </c>
      <c r="L19" s="31">
        <v>2018</v>
      </c>
      <c r="M19" s="34">
        <v>61.27</v>
      </c>
    </row>
    <row r="20" spans="2:13" ht="16.5" thickBot="1" x14ac:dyDescent="0.3">
      <c r="B20" s="26" t="s">
        <v>36</v>
      </c>
      <c r="C20" s="35">
        <f>VLOOKUP(C3,$L$100:$M$105,2,0)</f>
        <v>65.540000000000006</v>
      </c>
      <c r="D20" s="35">
        <f t="shared" ref="D20:H20" si="17">VLOOKUP(D3,$L$100:$M$105,2,0)</f>
        <v>67.06</v>
      </c>
      <c r="E20" s="35">
        <f t="shared" si="17"/>
        <v>67.05</v>
      </c>
      <c r="F20" s="35">
        <f t="shared" si="17"/>
        <v>68.59</v>
      </c>
      <c r="G20" s="35">
        <f t="shared" si="17"/>
        <v>68.77</v>
      </c>
      <c r="H20" s="35">
        <f t="shared" si="17"/>
        <v>68.98</v>
      </c>
      <c r="I20" s="35">
        <f t="shared" si="1"/>
        <v>67.665000000000006</v>
      </c>
      <c r="K20" s="33" t="s">
        <v>22</v>
      </c>
      <c r="L20" s="31">
        <v>2019</v>
      </c>
      <c r="M20" s="34">
        <v>63.5</v>
      </c>
    </row>
    <row r="21" spans="2:13" ht="16.5" thickBot="1" x14ac:dyDescent="0.3">
      <c r="B21" s="26" t="s">
        <v>37</v>
      </c>
      <c r="C21" s="35">
        <f>VLOOKUP(C3,$L$106:$M$111,2,0)</f>
        <v>56.13</v>
      </c>
      <c r="D21" s="35">
        <f t="shared" ref="D21:H21" si="18">VLOOKUP(D3,$L$106:$M$111,2,0)</f>
        <v>58.85</v>
      </c>
      <c r="E21" s="35">
        <f t="shared" si="18"/>
        <v>58.74</v>
      </c>
      <c r="F21" s="35">
        <f t="shared" si="18"/>
        <v>59.24</v>
      </c>
      <c r="G21" s="35">
        <f t="shared" si="18"/>
        <v>61.52</v>
      </c>
      <c r="H21" s="35">
        <f t="shared" si="18"/>
        <v>63</v>
      </c>
      <c r="I21" s="35">
        <f t="shared" si="1"/>
        <v>59.580000000000005</v>
      </c>
      <c r="K21" s="33" t="s">
        <v>22</v>
      </c>
      <c r="L21" s="31">
        <v>2020</v>
      </c>
      <c r="M21" s="34">
        <v>60.88</v>
      </c>
    </row>
    <row r="22" spans="2:13" ht="16.5" thickBot="1" x14ac:dyDescent="0.3">
      <c r="B22" s="26" t="s">
        <v>38</v>
      </c>
      <c r="C22" s="35">
        <f>VLOOKUP(C3,$L$112:$M$117,2,0)</f>
        <v>55.38</v>
      </c>
      <c r="D22" s="35">
        <f t="shared" ref="D22:H22" si="19">VLOOKUP(D3,$L$112:$M$117,2,0)</f>
        <v>56.61</v>
      </c>
      <c r="E22" s="35">
        <f t="shared" si="19"/>
        <v>56.07</v>
      </c>
      <c r="F22" s="35">
        <f>VLOOKUP(F3,$L$112:$M$117,2,0)</f>
        <v>54.02</v>
      </c>
      <c r="G22" s="35">
        <f t="shared" si="19"/>
        <v>58.84</v>
      </c>
      <c r="H22" s="35">
        <f t="shared" si="19"/>
        <v>59.56</v>
      </c>
      <c r="I22" s="35">
        <f t="shared" si="1"/>
        <v>56.74666666666667</v>
      </c>
      <c r="K22" s="33" t="s">
        <v>23</v>
      </c>
      <c r="L22" s="31">
        <v>2015</v>
      </c>
      <c r="M22" s="34">
        <v>59.97</v>
      </c>
    </row>
    <row r="23" spans="2:13" ht="16.5" thickBot="1" x14ac:dyDescent="0.3">
      <c r="B23" s="26" t="s">
        <v>39</v>
      </c>
      <c r="C23" s="35">
        <f>VLOOKUP(C3,$L$118:$M$123,2,0)</f>
        <v>58.41</v>
      </c>
      <c r="D23" s="35">
        <f t="shared" ref="D23:H23" si="20">VLOOKUP(D3,$L$118:$M$123,2,0)</f>
        <v>61.31</v>
      </c>
      <c r="E23" s="35">
        <f t="shared" si="20"/>
        <v>62.49</v>
      </c>
      <c r="F23" s="35">
        <f t="shared" si="20"/>
        <v>63.27</v>
      </c>
      <c r="G23" s="35">
        <f t="shared" si="20"/>
        <v>64.61</v>
      </c>
      <c r="H23" s="35">
        <f t="shared" si="20"/>
        <v>64.459999999999994</v>
      </c>
      <c r="I23" s="35">
        <f t="shared" si="1"/>
        <v>62.425000000000004</v>
      </c>
      <c r="K23" s="33" t="s">
        <v>23</v>
      </c>
      <c r="L23" s="31">
        <v>2016</v>
      </c>
      <c r="M23" s="34">
        <v>61.39</v>
      </c>
    </row>
    <row r="24" spans="2:13" ht="16.5" thickBot="1" x14ac:dyDescent="0.3">
      <c r="B24" s="26" t="s">
        <v>40</v>
      </c>
      <c r="C24" s="35">
        <f>VLOOKUP(C3,$L$124:$M$129,2,0)</f>
        <v>61.17</v>
      </c>
      <c r="D24" s="35">
        <f t="shared" ref="D24:H24" si="21">VLOOKUP(D3,$L$124:$M$129,2,0)</f>
        <v>57.46</v>
      </c>
      <c r="E24" s="35">
        <f t="shared" si="21"/>
        <v>57.11</v>
      </c>
      <c r="F24" s="35">
        <f t="shared" si="21"/>
        <v>54.87</v>
      </c>
      <c r="G24" s="35">
        <f t="shared" si="21"/>
        <v>58.01</v>
      </c>
      <c r="H24" s="35">
        <f t="shared" si="21"/>
        <v>57.31</v>
      </c>
      <c r="I24" s="35">
        <f t="shared" si="1"/>
        <v>57.655000000000001</v>
      </c>
      <c r="K24" s="33" t="s">
        <v>23</v>
      </c>
      <c r="L24" s="31">
        <v>2017</v>
      </c>
      <c r="M24" s="34">
        <v>64.2</v>
      </c>
    </row>
    <row r="25" spans="2:13" ht="16.5" thickBot="1" x14ac:dyDescent="0.3">
      <c r="B25" s="26" t="s">
        <v>41</v>
      </c>
      <c r="C25" s="35">
        <f>VLOOKUP(C3,$L$130:$M$135,2,0)</f>
        <v>52.6</v>
      </c>
      <c r="D25" s="35">
        <f t="shared" ref="D25:H25" si="22">VLOOKUP(D3,$L$130:$M$135,2,0)</f>
        <v>55.55</v>
      </c>
      <c r="E25" s="35">
        <f t="shared" si="22"/>
        <v>53.44</v>
      </c>
      <c r="F25" s="35">
        <f t="shared" si="22"/>
        <v>53.72</v>
      </c>
      <c r="G25" s="35">
        <f t="shared" si="22"/>
        <v>56.15</v>
      </c>
      <c r="H25" s="35">
        <f t="shared" si="22"/>
        <v>56.23</v>
      </c>
      <c r="I25" s="35">
        <f t="shared" si="1"/>
        <v>54.615000000000002</v>
      </c>
      <c r="K25" s="33" t="s">
        <v>23</v>
      </c>
      <c r="L25" s="31">
        <v>2018</v>
      </c>
      <c r="M25" s="34">
        <v>61.49</v>
      </c>
    </row>
    <row r="26" spans="2:13" ht="16.5" thickBot="1" x14ac:dyDescent="0.3">
      <c r="B26" s="26" t="s">
        <v>42</v>
      </c>
      <c r="C26" s="35">
        <f>VLOOKUP(C3,$L$136:$M$141,2,0)</f>
        <v>49.09</v>
      </c>
      <c r="D26" s="35">
        <f t="shared" ref="D26:H26" si="23">VLOOKUP(D3,$L$136:$M$141,2,0)</f>
        <v>52.09</v>
      </c>
      <c r="E26" s="35">
        <f t="shared" si="23"/>
        <v>51.88</v>
      </c>
      <c r="F26" s="35">
        <f t="shared" si="23"/>
        <v>48.73</v>
      </c>
      <c r="G26" s="35">
        <f t="shared" si="23"/>
        <v>51.64</v>
      </c>
      <c r="H26" s="35">
        <f t="shared" si="23"/>
        <v>57.52</v>
      </c>
      <c r="I26" s="35">
        <f t="shared" si="1"/>
        <v>51.824999999999996</v>
      </c>
      <c r="K26" s="33" t="s">
        <v>23</v>
      </c>
      <c r="L26" s="31">
        <v>2019</v>
      </c>
      <c r="M26" s="34">
        <v>63.48</v>
      </c>
    </row>
    <row r="27" spans="2:13" ht="16.5" thickBot="1" x14ac:dyDescent="0.3">
      <c r="B27" s="26" t="s">
        <v>43</v>
      </c>
      <c r="C27" s="35">
        <f>VLOOKUP(C3,$L$142:$M$147,2,0)</f>
        <v>60.85</v>
      </c>
      <c r="D27" s="35">
        <f t="shared" ref="D27:H27" si="24">VLOOKUP(D3,$L$142:$M$147,2,0)</f>
        <v>62.89</v>
      </c>
      <c r="E27" s="35">
        <f t="shared" si="24"/>
        <v>60.83</v>
      </c>
      <c r="F27" s="35">
        <f t="shared" si="24"/>
        <v>61.94</v>
      </c>
      <c r="G27" s="35">
        <f t="shared" si="24"/>
        <v>65.16</v>
      </c>
      <c r="H27" s="35">
        <f t="shared" si="24"/>
        <v>67.31</v>
      </c>
      <c r="I27" s="35">
        <f t="shared" si="1"/>
        <v>63.163333333333327</v>
      </c>
      <c r="K27" s="33" t="s">
        <v>23</v>
      </c>
      <c r="L27" s="31">
        <v>2020</v>
      </c>
      <c r="M27" s="34">
        <v>63.37</v>
      </c>
    </row>
    <row r="28" spans="2:13" ht="16.5" thickBot="1" x14ac:dyDescent="0.3">
      <c r="B28" s="26" t="s">
        <v>44</v>
      </c>
      <c r="C28" s="35">
        <f>VLOOKUP(C3,$L$148:$M$153,2,0)</f>
        <v>61.88</v>
      </c>
      <c r="D28" s="35">
        <f t="shared" ref="D28:H28" si="25">VLOOKUP(D3,$L$148:$M$153,2,0)</f>
        <v>62.8</v>
      </c>
      <c r="E28" s="35">
        <f t="shared" si="25"/>
        <v>62.81</v>
      </c>
      <c r="F28" s="35">
        <f t="shared" si="25"/>
        <v>61.44</v>
      </c>
      <c r="G28" s="35">
        <f t="shared" si="25"/>
        <v>65.58</v>
      </c>
      <c r="H28" s="35">
        <f t="shared" si="25"/>
        <v>64.510000000000005</v>
      </c>
      <c r="I28" s="35">
        <f t="shared" si="1"/>
        <v>63.169999999999995</v>
      </c>
      <c r="K28" s="33" t="s">
        <v>24</v>
      </c>
      <c r="L28" s="31">
        <v>2015</v>
      </c>
      <c r="M28" s="34">
        <v>64</v>
      </c>
    </row>
    <row r="29" spans="2:13" ht="16.5" thickBot="1" x14ac:dyDescent="0.3">
      <c r="B29" s="26" t="s">
        <v>45</v>
      </c>
      <c r="C29" s="35">
        <f>VLOOKUP(C3,$L$154:$M$159,2,0)</f>
        <v>53.06</v>
      </c>
      <c r="D29" s="35">
        <f t="shared" ref="D29:H29" si="26">VLOOKUP(D3,$L$154:$M$159,2,0)</f>
        <v>55.97</v>
      </c>
      <c r="E29" s="35">
        <f t="shared" si="26"/>
        <v>56.05</v>
      </c>
      <c r="F29" s="35">
        <f t="shared" si="26"/>
        <v>58.52</v>
      </c>
      <c r="G29" s="35">
        <f t="shared" si="26"/>
        <v>59.44</v>
      </c>
      <c r="H29" s="35">
        <f t="shared" si="26"/>
        <v>57.66</v>
      </c>
      <c r="I29" s="35">
        <f t="shared" si="1"/>
        <v>56.783333333333324</v>
      </c>
      <c r="K29" s="33" t="s">
        <v>24</v>
      </c>
      <c r="L29" s="31">
        <v>2016</v>
      </c>
      <c r="M29" s="34">
        <v>64.59</v>
      </c>
    </row>
    <row r="30" spans="2:13" ht="16.5" thickBot="1" x14ac:dyDescent="0.3">
      <c r="B30" s="26" t="s">
        <v>46</v>
      </c>
      <c r="C30" s="35">
        <f>VLOOKUP(C3,$L$160:$M$165,2,0)</f>
        <v>57.29</v>
      </c>
      <c r="D30" s="35">
        <f t="shared" ref="D30:H30" si="27">VLOOKUP(D3,$L$160:$M$165,2,0)</f>
        <v>60.16</v>
      </c>
      <c r="E30" s="35">
        <f t="shared" si="27"/>
        <v>58.68</v>
      </c>
      <c r="F30" s="35">
        <f t="shared" si="27"/>
        <v>58.35</v>
      </c>
      <c r="G30" s="35">
        <f t="shared" si="27"/>
        <v>60.96</v>
      </c>
      <c r="H30" s="35">
        <f t="shared" si="27"/>
        <v>61.21</v>
      </c>
      <c r="I30" s="35">
        <f t="shared" si="1"/>
        <v>59.441666666666663</v>
      </c>
      <c r="K30" s="33" t="s">
        <v>24</v>
      </c>
      <c r="L30" s="31">
        <v>2017</v>
      </c>
      <c r="M30" s="34">
        <v>64.55</v>
      </c>
    </row>
    <row r="31" spans="2:13" ht="16.5" thickBot="1" x14ac:dyDescent="0.3">
      <c r="B31" s="26" t="s">
        <v>47</v>
      </c>
      <c r="C31" s="35">
        <f>VLOOKUP(C3,$L$166:$M$171,2,0)</f>
        <v>54.55</v>
      </c>
      <c r="D31" s="35">
        <f t="shared" ref="D31:H31" si="28">VLOOKUP(D3,$L$166:$M$171,2,0)</f>
        <v>54.55</v>
      </c>
      <c r="E31" s="35">
        <f t="shared" si="28"/>
        <v>52.62</v>
      </c>
      <c r="F31" s="35">
        <f t="shared" si="28"/>
        <v>55.33</v>
      </c>
      <c r="G31" s="35">
        <f t="shared" si="28"/>
        <v>54.73</v>
      </c>
      <c r="H31" s="35">
        <f t="shared" si="28"/>
        <v>58.31</v>
      </c>
      <c r="I31" s="35">
        <f t="shared" si="1"/>
        <v>55.015000000000008</v>
      </c>
      <c r="K31" s="33" t="s">
        <v>24</v>
      </c>
      <c r="L31" s="31">
        <v>2018</v>
      </c>
      <c r="M31" s="34">
        <v>66.58</v>
      </c>
    </row>
    <row r="32" spans="2:13" ht="16.5" thickBot="1" x14ac:dyDescent="0.3">
      <c r="B32" s="26" t="s">
        <v>48</v>
      </c>
      <c r="C32" s="35">
        <f>VLOOKUP(C3,$L$172:$M$177,2,0)</f>
        <v>57.14</v>
      </c>
      <c r="D32" s="35">
        <f t="shared" ref="D32:H32" si="29">VLOOKUP(D3,$L$172:$M$177,2,0)</f>
        <v>59.47</v>
      </c>
      <c r="E32" s="35">
        <f t="shared" si="29"/>
        <v>59.13</v>
      </c>
      <c r="F32" s="35">
        <f t="shared" si="29"/>
        <v>58.53</v>
      </c>
      <c r="G32" s="35">
        <f t="shared" si="29"/>
        <v>62.29</v>
      </c>
      <c r="H32" s="35">
        <f t="shared" si="29"/>
        <v>60.09</v>
      </c>
      <c r="I32" s="35">
        <f t="shared" si="1"/>
        <v>59.441666666666663</v>
      </c>
      <c r="K32" s="33" t="s">
        <v>24</v>
      </c>
      <c r="L32" s="31">
        <v>2019</v>
      </c>
      <c r="M32" s="34">
        <v>69.89</v>
      </c>
    </row>
    <row r="33" spans="2:13" ht="16.5" thickBot="1" x14ac:dyDescent="0.3">
      <c r="B33" s="26" t="s">
        <v>49</v>
      </c>
      <c r="C33" s="35">
        <f>VLOOKUP(C3,$L$178:$M$183,2,0)</f>
        <v>60.7</v>
      </c>
      <c r="D33" s="35">
        <f t="shared" ref="D33:H33" si="30">VLOOKUP(D3,$L$178:$M$183,2,0)</f>
        <v>61.48</v>
      </c>
      <c r="E33" s="35">
        <f t="shared" si="30"/>
        <v>61.68</v>
      </c>
      <c r="F33" s="35">
        <f t="shared" si="30"/>
        <v>60.32</v>
      </c>
      <c r="G33" s="35">
        <f t="shared" si="30"/>
        <v>64.44</v>
      </c>
      <c r="H33" s="35">
        <f t="shared" si="30"/>
        <v>64.900000000000006</v>
      </c>
      <c r="I33" s="35">
        <f t="shared" si="1"/>
        <v>62.25333333333333</v>
      </c>
      <c r="K33" s="33" t="s">
        <v>24</v>
      </c>
      <c r="L33" s="31">
        <v>2020</v>
      </c>
      <c r="M33" s="34">
        <v>70.38</v>
      </c>
    </row>
    <row r="34" spans="2:13" ht="16.5" thickBot="1" x14ac:dyDescent="0.3">
      <c r="B34" s="26" t="s">
        <v>50</v>
      </c>
      <c r="C34" s="35">
        <f>VLOOKUP(C3,$L$184:$M$189,2,0)</f>
        <v>63.01</v>
      </c>
      <c r="D34" s="35">
        <f t="shared" ref="D34:H34" si="31">VLOOKUP(D3,$L$184:$M$189,2,0)</f>
        <v>63.4</v>
      </c>
      <c r="E34" s="35">
        <f t="shared" si="31"/>
        <v>63.85</v>
      </c>
      <c r="F34" s="35">
        <f t="shared" si="31"/>
        <v>64.239999999999995</v>
      </c>
      <c r="G34" s="35">
        <f t="shared" si="31"/>
        <v>66.400000000000006</v>
      </c>
      <c r="H34" s="35">
        <f t="shared" si="31"/>
        <v>64.930000000000007</v>
      </c>
      <c r="I34" s="35">
        <f t="shared" si="1"/>
        <v>64.304999999999993</v>
      </c>
      <c r="K34" s="33" t="s">
        <v>25</v>
      </c>
      <c r="L34" s="31">
        <v>2015</v>
      </c>
      <c r="M34" s="34">
        <v>51.16</v>
      </c>
    </row>
    <row r="35" spans="2:13" ht="16.5" thickBot="1" x14ac:dyDescent="0.3">
      <c r="B35" s="26" t="s">
        <v>51</v>
      </c>
      <c r="C35" s="35">
        <f>VLOOKUP(C3,$L$190:$M$195,2,0)</f>
        <v>55.67</v>
      </c>
      <c r="D35" s="35">
        <f t="shared" ref="D35:H35" si="32">VLOOKUP(D3,$L$190:$M$195,2,0)</f>
        <v>54.33</v>
      </c>
      <c r="E35" s="35">
        <f t="shared" si="32"/>
        <v>57.6</v>
      </c>
      <c r="F35" s="35">
        <f t="shared" si="32"/>
        <v>55.01</v>
      </c>
      <c r="G35" s="35">
        <f t="shared" si="32"/>
        <v>59.03</v>
      </c>
      <c r="H35" s="35">
        <f t="shared" si="32"/>
        <v>59.34</v>
      </c>
      <c r="I35" s="35">
        <f t="shared" si="1"/>
        <v>56.830000000000005</v>
      </c>
      <c r="K35" s="33" t="s">
        <v>25</v>
      </c>
      <c r="L35" s="31">
        <v>2016</v>
      </c>
      <c r="M35" s="34">
        <v>54.54</v>
      </c>
    </row>
    <row r="36" spans="2:13" ht="16.5" thickBot="1" x14ac:dyDescent="0.3">
      <c r="B36" s="26" t="s">
        <v>52</v>
      </c>
      <c r="C36" s="35">
        <f>VLOOKUP(C3,$L$196:$M$201,2,0)</f>
        <v>55.54</v>
      </c>
      <c r="D36" s="35">
        <f t="shared" ref="D36:H36" si="33">VLOOKUP(D3,$L$196:$M$201,2,0)</f>
        <v>43.04</v>
      </c>
      <c r="E36" s="35">
        <f t="shared" si="33"/>
        <v>43.29</v>
      </c>
      <c r="F36" s="35">
        <f t="shared" si="33"/>
        <v>47.06</v>
      </c>
      <c r="G36" s="35">
        <f t="shared" si="33"/>
        <v>53.38</v>
      </c>
      <c r="H36" s="35">
        <f t="shared" si="33"/>
        <v>52.99</v>
      </c>
      <c r="I36" s="35">
        <f t="shared" si="1"/>
        <v>49.216666666666669</v>
      </c>
      <c r="K36" s="33" t="s">
        <v>25</v>
      </c>
      <c r="L36" s="31">
        <v>2017</v>
      </c>
      <c r="M36" s="34">
        <v>52.14</v>
      </c>
    </row>
    <row r="37" spans="2:13" ht="16.5" thickBot="1" x14ac:dyDescent="0.3">
      <c r="B37" s="26" t="s">
        <v>53</v>
      </c>
      <c r="C37" s="35">
        <f>VLOOKUP(C3,$L$202:$M$207,2,0)</f>
        <v>68.290000000000006</v>
      </c>
      <c r="D37" s="35">
        <f t="shared" ref="D37:H37" si="34">VLOOKUP(D3,$L$202:$M$207,2,0)</f>
        <v>68.87</v>
      </c>
      <c r="E37" s="35">
        <f t="shared" si="34"/>
        <v>68.8</v>
      </c>
      <c r="F37" s="35">
        <f t="shared" si="34"/>
        <v>67.77</v>
      </c>
      <c r="G37" s="35">
        <f t="shared" si="34"/>
        <v>69.84</v>
      </c>
      <c r="H37" s="35">
        <f t="shared" si="34"/>
        <v>68.3</v>
      </c>
      <c r="I37" s="35">
        <f t="shared" si="1"/>
        <v>68.64500000000001</v>
      </c>
      <c r="K37" s="33" t="s">
        <v>25</v>
      </c>
      <c r="L37" s="31">
        <v>2018</v>
      </c>
      <c r="M37" s="34">
        <v>55.57</v>
      </c>
    </row>
    <row r="38" spans="2:13" ht="16.5" thickBot="1" x14ac:dyDescent="0.3">
      <c r="K38" s="33" t="s">
        <v>25</v>
      </c>
      <c r="L38" s="31">
        <v>2019</v>
      </c>
      <c r="M38" s="34">
        <v>57.65</v>
      </c>
    </row>
    <row r="39" spans="2:13" ht="16.5" thickBot="1" x14ac:dyDescent="0.3">
      <c r="K39" s="33" t="s">
        <v>25</v>
      </c>
      <c r="L39" s="31">
        <v>2020</v>
      </c>
      <c r="M39" s="34">
        <v>59.43</v>
      </c>
    </row>
    <row r="40" spans="2:13" ht="16.5" thickBot="1" x14ac:dyDescent="0.3">
      <c r="K40" s="33" t="s">
        <v>26</v>
      </c>
      <c r="L40" s="31">
        <v>2015</v>
      </c>
      <c r="M40" s="34">
        <v>60.27</v>
      </c>
    </row>
    <row r="41" spans="2:13" ht="16.5" thickBot="1" x14ac:dyDescent="0.3">
      <c r="K41" s="33" t="s">
        <v>26</v>
      </c>
      <c r="L41" s="31">
        <v>2016</v>
      </c>
      <c r="M41" s="34">
        <v>61.2</v>
      </c>
    </row>
    <row r="42" spans="2:13" ht="16.5" thickBot="1" x14ac:dyDescent="0.3">
      <c r="K42" s="33" t="s">
        <v>26</v>
      </c>
      <c r="L42" s="31">
        <v>2017</v>
      </c>
      <c r="M42" s="34">
        <v>61.78</v>
      </c>
    </row>
    <row r="43" spans="2:13" ht="16.5" thickBot="1" x14ac:dyDescent="0.3">
      <c r="K43" s="33" t="s">
        <v>26</v>
      </c>
      <c r="L43" s="31">
        <v>2018</v>
      </c>
      <c r="M43" s="34">
        <v>62.7</v>
      </c>
    </row>
    <row r="44" spans="2:13" ht="16.5" thickBot="1" x14ac:dyDescent="0.3">
      <c r="K44" s="33" t="s">
        <v>26</v>
      </c>
      <c r="L44" s="31">
        <v>2019</v>
      </c>
      <c r="M44" s="34">
        <v>63.66</v>
      </c>
    </row>
    <row r="45" spans="2:13" ht="16.5" thickBot="1" x14ac:dyDescent="0.3">
      <c r="K45" s="33" t="s">
        <v>26</v>
      </c>
      <c r="L45" s="31">
        <v>2020</v>
      </c>
      <c r="M45" s="34">
        <v>61.81</v>
      </c>
    </row>
    <row r="46" spans="2:13" ht="16.5" thickBot="1" x14ac:dyDescent="0.3">
      <c r="K46" s="33" t="s">
        <v>27</v>
      </c>
      <c r="L46" s="31">
        <v>2015</v>
      </c>
      <c r="M46" s="34">
        <v>58.11</v>
      </c>
    </row>
    <row r="47" spans="2:13" ht="16.5" thickBot="1" x14ac:dyDescent="0.3">
      <c r="K47" s="33" t="s">
        <v>27</v>
      </c>
      <c r="L47" s="31">
        <v>2016</v>
      </c>
      <c r="M47" s="34">
        <v>56.91</v>
      </c>
    </row>
    <row r="48" spans="2:13" ht="16.5" thickBot="1" x14ac:dyDescent="0.3">
      <c r="K48" s="33" t="s">
        <v>27</v>
      </c>
      <c r="L48" s="31">
        <v>2017</v>
      </c>
      <c r="M48" s="34">
        <v>55.27</v>
      </c>
    </row>
    <row r="49" spans="11:13" ht="16.5" thickBot="1" x14ac:dyDescent="0.3">
      <c r="K49" s="33" t="s">
        <v>27</v>
      </c>
      <c r="L49" s="31">
        <v>2018</v>
      </c>
      <c r="M49" s="34">
        <v>58.09</v>
      </c>
    </row>
    <row r="50" spans="11:13" ht="16.5" thickBot="1" x14ac:dyDescent="0.3">
      <c r="K50" s="33" t="s">
        <v>27</v>
      </c>
      <c r="L50" s="31">
        <v>2019</v>
      </c>
      <c r="M50" s="34">
        <v>60.1</v>
      </c>
    </row>
    <row r="51" spans="11:13" ht="16.5" thickBot="1" x14ac:dyDescent="0.3">
      <c r="K51" s="33" t="s">
        <v>27</v>
      </c>
      <c r="L51" s="31">
        <v>2020</v>
      </c>
      <c r="M51" s="34">
        <v>58.52</v>
      </c>
    </row>
    <row r="52" spans="11:13" ht="16.5" thickBot="1" x14ac:dyDescent="0.3">
      <c r="K52" s="33" t="s">
        <v>28</v>
      </c>
      <c r="L52" s="31">
        <v>2015</v>
      </c>
      <c r="M52" s="34">
        <v>59.8</v>
      </c>
    </row>
    <row r="53" spans="11:13" ht="16.5" thickBot="1" x14ac:dyDescent="0.3">
      <c r="K53" s="33" t="s">
        <v>28</v>
      </c>
      <c r="L53" s="31">
        <v>2016</v>
      </c>
      <c r="M53" s="34">
        <v>59.29</v>
      </c>
    </row>
    <row r="54" spans="11:13" ht="16.5" thickBot="1" x14ac:dyDescent="0.3">
      <c r="K54" s="33" t="s">
        <v>28</v>
      </c>
      <c r="L54" s="31">
        <v>2017</v>
      </c>
      <c r="M54" s="34">
        <v>59.93</v>
      </c>
    </row>
    <row r="55" spans="11:13" ht="16.5" thickBot="1" x14ac:dyDescent="0.3">
      <c r="K55" s="33" t="s">
        <v>28</v>
      </c>
      <c r="L55" s="31">
        <v>2018</v>
      </c>
      <c r="M55" s="34">
        <v>60.3</v>
      </c>
    </row>
    <row r="56" spans="11:13" ht="16.5" thickBot="1" x14ac:dyDescent="0.3">
      <c r="K56" s="33" t="s">
        <v>28</v>
      </c>
      <c r="L56" s="31">
        <v>2019</v>
      </c>
      <c r="M56" s="34">
        <v>62.27</v>
      </c>
    </row>
    <row r="57" spans="11:13" ht="16.5" thickBot="1" x14ac:dyDescent="0.3">
      <c r="K57" s="33" t="s">
        <v>28</v>
      </c>
      <c r="L57" s="31">
        <v>2020</v>
      </c>
      <c r="M57" s="34">
        <v>60.93</v>
      </c>
    </row>
    <row r="58" spans="11:13" ht="16.5" thickBot="1" x14ac:dyDescent="0.3">
      <c r="K58" s="33" t="s">
        <v>29</v>
      </c>
      <c r="L58" s="31">
        <v>2015</v>
      </c>
      <c r="M58" s="34">
        <v>42.28</v>
      </c>
    </row>
    <row r="59" spans="11:13" ht="16.5" thickBot="1" x14ac:dyDescent="0.3">
      <c r="K59" s="33" t="s">
        <v>29</v>
      </c>
      <c r="L59" s="31">
        <v>2016</v>
      </c>
      <c r="M59" s="34">
        <v>54.09</v>
      </c>
    </row>
    <row r="60" spans="11:13" ht="16.5" thickBot="1" x14ac:dyDescent="0.3">
      <c r="K60" s="33" t="s">
        <v>29</v>
      </c>
      <c r="L60" s="31">
        <v>2017</v>
      </c>
      <c r="M60" s="34">
        <v>48.89</v>
      </c>
    </row>
    <row r="61" spans="11:13" ht="16.5" thickBot="1" x14ac:dyDescent="0.3">
      <c r="K61" s="33" t="s">
        <v>29</v>
      </c>
      <c r="L61" s="31">
        <v>2018</v>
      </c>
      <c r="M61" s="34">
        <v>52.26</v>
      </c>
    </row>
    <row r="62" spans="11:13" ht="16.5" thickBot="1" x14ac:dyDescent="0.3">
      <c r="K62" s="33" t="s">
        <v>29</v>
      </c>
      <c r="L62" s="31">
        <v>2019</v>
      </c>
      <c r="M62" s="34">
        <v>54.56</v>
      </c>
    </row>
    <row r="63" spans="11:13" ht="16.5" thickBot="1" x14ac:dyDescent="0.3">
      <c r="K63" s="33" t="s">
        <v>29</v>
      </c>
      <c r="L63" s="31">
        <v>2020</v>
      </c>
      <c r="M63" s="34">
        <v>55.82</v>
      </c>
    </row>
    <row r="64" spans="11:13" ht="16.5" thickBot="1" x14ac:dyDescent="0.3">
      <c r="K64" s="33" t="s">
        <v>30</v>
      </c>
      <c r="L64" s="31">
        <v>2015</v>
      </c>
      <c r="M64" s="34">
        <v>56.04</v>
      </c>
    </row>
    <row r="65" spans="11:13" ht="16.5" thickBot="1" x14ac:dyDescent="0.3">
      <c r="K65" s="33" t="s">
        <v>30</v>
      </c>
      <c r="L65" s="31">
        <v>2016</v>
      </c>
      <c r="M65" s="34">
        <v>57.36</v>
      </c>
    </row>
    <row r="66" spans="11:13" ht="16.5" thickBot="1" x14ac:dyDescent="0.3">
      <c r="K66" s="33" t="s">
        <v>30</v>
      </c>
      <c r="L66" s="31">
        <v>2017</v>
      </c>
      <c r="M66" s="34">
        <v>56.32</v>
      </c>
    </row>
    <row r="67" spans="11:13" ht="16.5" thickBot="1" x14ac:dyDescent="0.3">
      <c r="K67" s="33" t="s">
        <v>30</v>
      </c>
      <c r="L67" s="31">
        <v>2018</v>
      </c>
      <c r="M67" s="34">
        <v>57.95</v>
      </c>
    </row>
    <row r="68" spans="11:13" ht="16.5" thickBot="1" x14ac:dyDescent="0.3">
      <c r="K68" s="33" t="s">
        <v>30</v>
      </c>
      <c r="L68" s="31">
        <v>2019</v>
      </c>
      <c r="M68" s="34">
        <v>60.12</v>
      </c>
    </row>
    <row r="69" spans="11:13" ht="16.5" thickBot="1" x14ac:dyDescent="0.3">
      <c r="K69" s="33" t="s">
        <v>30</v>
      </c>
      <c r="L69" s="31">
        <v>2020</v>
      </c>
      <c r="M69" s="34">
        <v>60.29</v>
      </c>
    </row>
    <row r="70" spans="11:13" ht="16.5" thickBot="1" x14ac:dyDescent="0.3">
      <c r="K70" s="33" t="s">
        <v>31</v>
      </c>
      <c r="L70" s="31">
        <v>2015</v>
      </c>
      <c r="M70" s="34">
        <v>55.34</v>
      </c>
    </row>
    <row r="71" spans="11:13" ht="16.5" thickBot="1" x14ac:dyDescent="0.3">
      <c r="K71" s="33" t="s">
        <v>31</v>
      </c>
      <c r="L71" s="31">
        <v>2016</v>
      </c>
      <c r="M71" s="34">
        <v>58.41</v>
      </c>
    </row>
    <row r="72" spans="11:13" ht="16.5" thickBot="1" x14ac:dyDescent="0.3">
      <c r="K72" s="33" t="s">
        <v>31</v>
      </c>
      <c r="L72" s="31">
        <v>2017</v>
      </c>
      <c r="M72" s="34">
        <v>57.36</v>
      </c>
    </row>
    <row r="73" spans="11:13" ht="16.5" thickBot="1" x14ac:dyDescent="0.3">
      <c r="K73" s="33" t="s">
        <v>31</v>
      </c>
      <c r="L73" s="31">
        <v>2018</v>
      </c>
      <c r="M73" s="34">
        <v>58.45</v>
      </c>
    </row>
    <row r="74" spans="11:13" ht="16.5" thickBot="1" x14ac:dyDescent="0.3">
      <c r="K74" s="33" t="s">
        <v>31</v>
      </c>
      <c r="L74" s="31">
        <v>2019</v>
      </c>
      <c r="M74" s="34">
        <v>58.48</v>
      </c>
    </row>
    <row r="75" spans="11:13" ht="16.5" thickBot="1" x14ac:dyDescent="0.3">
      <c r="K75" s="33" t="s">
        <v>31</v>
      </c>
      <c r="L75" s="31">
        <v>2020</v>
      </c>
      <c r="M75" s="34">
        <v>56.91</v>
      </c>
    </row>
    <row r="76" spans="11:13" ht="16.5" thickBot="1" x14ac:dyDescent="0.3">
      <c r="K76" s="33" t="s">
        <v>32</v>
      </c>
      <c r="L76" s="31">
        <v>2015</v>
      </c>
      <c r="M76" s="34">
        <v>58.88</v>
      </c>
    </row>
    <row r="77" spans="11:13" ht="16.5" thickBot="1" x14ac:dyDescent="0.3">
      <c r="K77" s="33" t="s">
        <v>32</v>
      </c>
      <c r="L77" s="31">
        <v>2016</v>
      </c>
      <c r="M77" s="34">
        <v>60.97</v>
      </c>
    </row>
    <row r="78" spans="11:13" ht="16.5" thickBot="1" x14ac:dyDescent="0.3">
      <c r="K78" s="33" t="s">
        <v>32</v>
      </c>
      <c r="L78" s="31">
        <v>2017</v>
      </c>
      <c r="M78" s="34">
        <v>58.74</v>
      </c>
    </row>
    <row r="79" spans="11:13" ht="16.5" thickBot="1" x14ac:dyDescent="0.3">
      <c r="K79" s="33" t="s">
        <v>32</v>
      </c>
      <c r="L79" s="31">
        <v>2018</v>
      </c>
      <c r="M79" s="34">
        <v>58.58</v>
      </c>
    </row>
    <row r="80" spans="11:13" ht="16.5" thickBot="1" x14ac:dyDescent="0.3">
      <c r="K80" s="33" t="s">
        <v>32</v>
      </c>
      <c r="L80" s="31">
        <v>2019</v>
      </c>
      <c r="M80" s="34">
        <v>60.67</v>
      </c>
    </row>
    <row r="81" spans="11:13" ht="16.5" thickBot="1" x14ac:dyDescent="0.3">
      <c r="K81" s="33" t="s">
        <v>32</v>
      </c>
      <c r="L81" s="31">
        <v>2020</v>
      </c>
      <c r="M81" s="34">
        <v>60.3</v>
      </c>
    </row>
    <row r="82" spans="11:13" ht="16.5" thickBot="1" x14ac:dyDescent="0.3">
      <c r="K82" s="33" t="s">
        <v>33</v>
      </c>
      <c r="L82" s="31">
        <v>2015</v>
      </c>
      <c r="M82" s="34">
        <v>67.67</v>
      </c>
    </row>
    <row r="83" spans="11:13" ht="16.5" thickBot="1" x14ac:dyDescent="0.3">
      <c r="K83" s="33" t="s">
        <v>33</v>
      </c>
      <c r="L83" s="31">
        <v>2016</v>
      </c>
      <c r="M83" s="34">
        <v>66.650000000000006</v>
      </c>
    </row>
    <row r="84" spans="11:13" ht="16.5" thickBot="1" x14ac:dyDescent="0.3">
      <c r="K84" s="33" t="s">
        <v>33</v>
      </c>
      <c r="L84" s="31">
        <v>2017</v>
      </c>
      <c r="M84" s="34">
        <v>65.28</v>
      </c>
    </row>
    <row r="85" spans="11:13" ht="16.5" thickBot="1" x14ac:dyDescent="0.3">
      <c r="K85" s="33" t="s">
        <v>33</v>
      </c>
      <c r="L85" s="31">
        <v>2018</v>
      </c>
      <c r="M85" s="34">
        <v>66.099999999999994</v>
      </c>
    </row>
    <row r="86" spans="11:13" ht="16.5" thickBot="1" x14ac:dyDescent="0.3">
      <c r="K86" s="33" t="s">
        <v>33</v>
      </c>
      <c r="L86" s="31">
        <v>2019</v>
      </c>
      <c r="M86" s="34">
        <v>69.61</v>
      </c>
    </row>
    <row r="87" spans="11:13" ht="16.5" thickBot="1" x14ac:dyDescent="0.3">
      <c r="K87" s="33" t="s">
        <v>33</v>
      </c>
      <c r="L87" s="31">
        <v>2020</v>
      </c>
      <c r="M87" s="34">
        <v>70.97</v>
      </c>
    </row>
    <row r="88" spans="11:13" ht="16.5" thickBot="1" x14ac:dyDescent="0.3">
      <c r="K88" s="33" t="s">
        <v>34</v>
      </c>
      <c r="L88" s="31">
        <v>2015</v>
      </c>
      <c r="M88" s="34">
        <v>67.78</v>
      </c>
    </row>
    <row r="89" spans="11:13" ht="16.5" thickBot="1" x14ac:dyDescent="0.3">
      <c r="K89" s="33" t="s">
        <v>34</v>
      </c>
      <c r="L89" s="31">
        <v>2016</v>
      </c>
      <c r="M89" s="34">
        <v>68.22</v>
      </c>
    </row>
    <row r="90" spans="11:13" ht="16.5" thickBot="1" x14ac:dyDescent="0.3">
      <c r="K90" s="33" t="s">
        <v>34</v>
      </c>
      <c r="L90" s="31">
        <v>2017</v>
      </c>
      <c r="M90" s="34">
        <v>64.48</v>
      </c>
    </row>
    <row r="91" spans="11:13" ht="16.5" thickBot="1" x14ac:dyDescent="0.3">
      <c r="K91" s="33" t="s">
        <v>34</v>
      </c>
      <c r="L91" s="31">
        <v>2018</v>
      </c>
      <c r="M91" s="34">
        <v>66.52</v>
      </c>
    </row>
    <row r="92" spans="11:13" ht="16.5" thickBot="1" x14ac:dyDescent="0.3">
      <c r="K92" s="33" t="s">
        <v>34</v>
      </c>
      <c r="L92" s="31">
        <v>2019</v>
      </c>
      <c r="M92" s="34">
        <v>73.73</v>
      </c>
    </row>
    <row r="93" spans="11:13" ht="16.5" thickBot="1" x14ac:dyDescent="0.3">
      <c r="K93" s="33" t="s">
        <v>34</v>
      </c>
      <c r="L93" s="31">
        <v>2020</v>
      </c>
      <c r="M93" s="34">
        <v>70.56</v>
      </c>
    </row>
    <row r="94" spans="11:13" ht="16.5" thickBot="1" x14ac:dyDescent="0.3">
      <c r="K94" s="33" t="s">
        <v>35</v>
      </c>
      <c r="L94" s="31">
        <v>2015</v>
      </c>
      <c r="M94" s="34">
        <v>61.33</v>
      </c>
    </row>
    <row r="95" spans="11:13" ht="16.5" thickBot="1" x14ac:dyDescent="0.3">
      <c r="K95" s="33" t="s">
        <v>35</v>
      </c>
      <c r="L95" s="31">
        <v>2016</v>
      </c>
      <c r="M95" s="34">
        <v>62.42</v>
      </c>
    </row>
    <row r="96" spans="11:13" ht="16.5" thickBot="1" x14ac:dyDescent="0.3">
      <c r="K96" s="33" t="s">
        <v>35</v>
      </c>
      <c r="L96" s="31">
        <v>2017</v>
      </c>
      <c r="M96" s="34">
        <v>63.31</v>
      </c>
    </row>
    <row r="97" spans="11:13" ht="16.5" thickBot="1" x14ac:dyDescent="0.3">
      <c r="K97" s="33" t="s">
        <v>35</v>
      </c>
      <c r="L97" s="31">
        <v>2018</v>
      </c>
      <c r="M97" s="34">
        <v>61.96</v>
      </c>
    </row>
    <row r="98" spans="11:13" ht="16.5" thickBot="1" x14ac:dyDescent="0.3">
      <c r="K98" s="33" t="s">
        <v>35</v>
      </c>
      <c r="L98" s="31">
        <v>2019</v>
      </c>
      <c r="M98" s="34">
        <v>63.5</v>
      </c>
    </row>
    <row r="99" spans="11:13" ht="16.5" thickBot="1" x14ac:dyDescent="0.3">
      <c r="K99" s="33" t="s">
        <v>35</v>
      </c>
      <c r="L99" s="31">
        <v>2020</v>
      </c>
      <c r="M99" s="34">
        <v>63.02</v>
      </c>
    </row>
    <row r="100" spans="11:13" ht="16.5" thickBot="1" x14ac:dyDescent="0.3">
      <c r="K100" s="33" t="s">
        <v>36</v>
      </c>
      <c r="L100" s="31">
        <v>2015</v>
      </c>
      <c r="M100" s="34">
        <v>65.540000000000006</v>
      </c>
    </row>
    <row r="101" spans="11:13" ht="16.5" thickBot="1" x14ac:dyDescent="0.3">
      <c r="K101" s="33" t="s">
        <v>36</v>
      </c>
      <c r="L101" s="31">
        <v>2016</v>
      </c>
      <c r="M101" s="34">
        <v>67.06</v>
      </c>
    </row>
    <row r="102" spans="11:13" ht="16.5" thickBot="1" x14ac:dyDescent="0.3">
      <c r="K102" s="33" t="s">
        <v>36</v>
      </c>
      <c r="L102" s="31">
        <v>2017</v>
      </c>
      <c r="M102" s="34">
        <v>67.05</v>
      </c>
    </row>
    <row r="103" spans="11:13" ht="16.5" thickBot="1" x14ac:dyDescent="0.3">
      <c r="K103" s="33" t="s">
        <v>36</v>
      </c>
      <c r="L103" s="31">
        <v>2018</v>
      </c>
      <c r="M103" s="34">
        <v>68.59</v>
      </c>
    </row>
    <row r="104" spans="11:13" ht="16.5" thickBot="1" x14ac:dyDescent="0.3">
      <c r="K104" s="33" t="s">
        <v>36</v>
      </c>
      <c r="L104" s="31">
        <v>2019</v>
      </c>
      <c r="M104" s="34">
        <v>68.77</v>
      </c>
    </row>
    <row r="105" spans="11:13" ht="16.5" thickBot="1" x14ac:dyDescent="0.3">
      <c r="K105" s="33" t="s">
        <v>36</v>
      </c>
      <c r="L105" s="31">
        <v>2020</v>
      </c>
      <c r="M105" s="34">
        <v>68.98</v>
      </c>
    </row>
    <row r="106" spans="11:13" ht="16.5" thickBot="1" x14ac:dyDescent="0.3">
      <c r="K106" s="33" t="s">
        <v>37</v>
      </c>
      <c r="L106" s="31">
        <v>2015</v>
      </c>
      <c r="M106" s="34">
        <v>56.13</v>
      </c>
    </row>
    <row r="107" spans="11:13" ht="16.5" thickBot="1" x14ac:dyDescent="0.3">
      <c r="K107" s="33" t="s">
        <v>37</v>
      </c>
      <c r="L107" s="31">
        <v>2016</v>
      </c>
      <c r="M107" s="34">
        <v>58.85</v>
      </c>
    </row>
    <row r="108" spans="11:13" ht="16.5" thickBot="1" x14ac:dyDescent="0.3">
      <c r="K108" s="33" t="s">
        <v>37</v>
      </c>
      <c r="L108" s="31">
        <v>2017</v>
      </c>
      <c r="M108" s="34">
        <v>58.74</v>
      </c>
    </row>
    <row r="109" spans="11:13" ht="16.5" thickBot="1" x14ac:dyDescent="0.3">
      <c r="K109" s="33" t="s">
        <v>37</v>
      </c>
      <c r="L109" s="31">
        <v>2018</v>
      </c>
      <c r="M109" s="34">
        <v>59.24</v>
      </c>
    </row>
    <row r="110" spans="11:13" ht="16.5" thickBot="1" x14ac:dyDescent="0.3">
      <c r="K110" s="33" t="s">
        <v>37</v>
      </c>
      <c r="L110" s="31">
        <v>2019</v>
      </c>
      <c r="M110" s="34">
        <v>61.52</v>
      </c>
    </row>
    <row r="111" spans="11:13" ht="16.5" thickBot="1" x14ac:dyDescent="0.3">
      <c r="K111" s="33" t="s">
        <v>37</v>
      </c>
      <c r="L111" s="31">
        <v>2020</v>
      </c>
      <c r="M111" s="34">
        <v>63</v>
      </c>
    </row>
    <row r="112" spans="11:13" ht="16.5" thickBot="1" x14ac:dyDescent="0.3">
      <c r="K112" s="33" t="s">
        <v>38</v>
      </c>
      <c r="L112" s="31">
        <v>2015</v>
      </c>
      <c r="M112" s="34">
        <v>55.38</v>
      </c>
    </row>
    <row r="113" spans="11:13" ht="16.5" thickBot="1" x14ac:dyDescent="0.3">
      <c r="K113" s="33" t="s">
        <v>38</v>
      </c>
      <c r="L113" s="31">
        <v>2016</v>
      </c>
      <c r="M113" s="34">
        <v>56.61</v>
      </c>
    </row>
    <row r="114" spans="11:13" ht="16.5" thickBot="1" x14ac:dyDescent="0.3">
      <c r="K114" s="33" t="s">
        <v>38</v>
      </c>
      <c r="L114" s="31">
        <v>2017</v>
      </c>
      <c r="M114" s="34">
        <v>56.07</v>
      </c>
    </row>
    <row r="115" spans="11:13" ht="16.5" thickBot="1" x14ac:dyDescent="0.3">
      <c r="K115" s="33" t="s">
        <v>38</v>
      </c>
      <c r="L115" s="31">
        <v>2018</v>
      </c>
      <c r="M115" s="34">
        <v>54.02</v>
      </c>
    </row>
    <row r="116" spans="11:13" ht="16.5" thickBot="1" x14ac:dyDescent="0.3">
      <c r="K116" s="33" t="s">
        <v>38</v>
      </c>
      <c r="L116" s="31">
        <v>2019</v>
      </c>
      <c r="M116" s="34">
        <v>58.84</v>
      </c>
    </row>
    <row r="117" spans="11:13" ht="16.5" thickBot="1" x14ac:dyDescent="0.3">
      <c r="K117" s="33" t="s">
        <v>38</v>
      </c>
      <c r="L117" s="31">
        <v>2020</v>
      </c>
      <c r="M117" s="34">
        <v>59.56</v>
      </c>
    </row>
    <row r="118" spans="11:13" ht="16.5" thickBot="1" x14ac:dyDescent="0.3">
      <c r="K118" s="33" t="s">
        <v>39</v>
      </c>
      <c r="L118" s="31">
        <v>2015</v>
      </c>
      <c r="M118" s="34">
        <v>58.41</v>
      </c>
    </row>
    <row r="119" spans="11:13" ht="16.5" thickBot="1" x14ac:dyDescent="0.3">
      <c r="K119" s="33" t="s">
        <v>39</v>
      </c>
      <c r="L119" s="31">
        <v>2016</v>
      </c>
      <c r="M119" s="34">
        <v>61.31</v>
      </c>
    </row>
    <row r="120" spans="11:13" ht="16.5" thickBot="1" x14ac:dyDescent="0.3">
      <c r="K120" s="33" t="s">
        <v>39</v>
      </c>
      <c r="L120" s="31">
        <v>2017</v>
      </c>
      <c r="M120" s="34">
        <v>62.49</v>
      </c>
    </row>
    <row r="121" spans="11:13" ht="16.5" thickBot="1" x14ac:dyDescent="0.3">
      <c r="K121" s="33" t="s">
        <v>39</v>
      </c>
      <c r="L121" s="31">
        <v>2018</v>
      </c>
      <c r="M121" s="34">
        <v>63.27</v>
      </c>
    </row>
    <row r="122" spans="11:13" ht="16.5" thickBot="1" x14ac:dyDescent="0.3">
      <c r="K122" s="33" t="s">
        <v>39</v>
      </c>
      <c r="L122" s="31">
        <v>2019</v>
      </c>
      <c r="M122" s="34">
        <v>64.61</v>
      </c>
    </row>
    <row r="123" spans="11:13" ht="16.5" thickBot="1" x14ac:dyDescent="0.3">
      <c r="K123" s="33" t="s">
        <v>39</v>
      </c>
      <c r="L123" s="31">
        <v>2020</v>
      </c>
      <c r="M123" s="34">
        <v>64.459999999999994</v>
      </c>
    </row>
    <row r="124" spans="11:13" ht="16.5" thickBot="1" x14ac:dyDescent="0.3">
      <c r="K124" s="33" t="s">
        <v>40</v>
      </c>
      <c r="L124" s="31">
        <v>2015</v>
      </c>
      <c r="M124" s="34">
        <v>61.17</v>
      </c>
    </row>
    <row r="125" spans="11:13" ht="16.5" thickBot="1" x14ac:dyDescent="0.3">
      <c r="K125" s="33" t="s">
        <v>40</v>
      </c>
      <c r="L125" s="31">
        <v>2016</v>
      </c>
      <c r="M125" s="34">
        <v>57.46</v>
      </c>
    </row>
    <row r="126" spans="11:13" ht="16.5" thickBot="1" x14ac:dyDescent="0.3">
      <c r="K126" s="33" t="s">
        <v>40</v>
      </c>
      <c r="L126" s="31">
        <v>2017</v>
      </c>
      <c r="M126" s="34">
        <v>57.11</v>
      </c>
    </row>
    <row r="127" spans="11:13" ht="16.5" thickBot="1" x14ac:dyDescent="0.3">
      <c r="K127" s="33" t="s">
        <v>40</v>
      </c>
      <c r="L127" s="31">
        <v>2018</v>
      </c>
      <c r="M127" s="34">
        <v>54.87</v>
      </c>
    </row>
    <row r="128" spans="11:13" ht="16.5" thickBot="1" x14ac:dyDescent="0.3">
      <c r="K128" s="33" t="s">
        <v>40</v>
      </c>
      <c r="L128" s="31">
        <v>2019</v>
      </c>
      <c r="M128" s="34">
        <v>58.01</v>
      </c>
    </row>
    <row r="129" spans="11:13" ht="16.5" thickBot="1" x14ac:dyDescent="0.3">
      <c r="K129" s="33" t="s">
        <v>40</v>
      </c>
      <c r="L129" s="31">
        <v>2020</v>
      </c>
      <c r="M129" s="34">
        <v>57.31</v>
      </c>
    </row>
    <row r="130" spans="11:13" ht="16.5" thickBot="1" x14ac:dyDescent="0.3">
      <c r="K130" s="33" t="s">
        <v>41</v>
      </c>
      <c r="L130" s="31">
        <v>2015</v>
      </c>
      <c r="M130" s="34">
        <v>52.6</v>
      </c>
    </row>
    <row r="131" spans="11:13" ht="16.5" thickBot="1" x14ac:dyDescent="0.3">
      <c r="K131" s="33" t="s">
        <v>41</v>
      </c>
      <c r="L131" s="31">
        <v>2016</v>
      </c>
      <c r="M131" s="34">
        <v>55.55</v>
      </c>
    </row>
    <row r="132" spans="11:13" ht="16.5" thickBot="1" x14ac:dyDescent="0.3">
      <c r="K132" s="33" t="s">
        <v>41</v>
      </c>
      <c r="L132" s="31">
        <v>2017</v>
      </c>
      <c r="M132" s="34">
        <v>53.44</v>
      </c>
    </row>
    <row r="133" spans="11:13" ht="16.5" thickBot="1" x14ac:dyDescent="0.3">
      <c r="K133" s="33" t="s">
        <v>41</v>
      </c>
      <c r="L133" s="31">
        <v>2018</v>
      </c>
      <c r="M133" s="34">
        <v>53.72</v>
      </c>
    </row>
    <row r="134" spans="11:13" ht="16.5" thickBot="1" x14ac:dyDescent="0.3">
      <c r="K134" s="33" t="s">
        <v>41</v>
      </c>
      <c r="L134" s="31">
        <v>2019</v>
      </c>
      <c r="M134" s="34">
        <v>56.15</v>
      </c>
    </row>
    <row r="135" spans="11:13" ht="16.5" thickBot="1" x14ac:dyDescent="0.3">
      <c r="K135" s="33" t="s">
        <v>41</v>
      </c>
      <c r="L135" s="31">
        <v>2020</v>
      </c>
      <c r="M135" s="34">
        <v>56.23</v>
      </c>
    </row>
    <row r="136" spans="11:13" ht="16.5" thickBot="1" x14ac:dyDescent="0.3">
      <c r="K136" s="33" t="s">
        <v>42</v>
      </c>
      <c r="L136" s="31">
        <v>2015</v>
      </c>
      <c r="M136" s="34">
        <v>49.09</v>
      </c>
    </row>
    <row r="137" spans="11:13" ht="16.5" thickBot="1" x14ac:dyDescent="0.3">
      <c r="K137" s="33" t="s">
        <v>42</v>
      </c>
      <c r="L137" s="31">
        <v>2016</v>
      </c>
      <c r="M137" s="34">
        <v>52.09</v>
      </c>
    </row>
    <row r="138" spans="11:13" ht="16.5" thickBot="1" x14ac:dyDescent="0.3">
      <c r="K138" s="33" t="s">
        <v>42</v>
      </c>
      <c r="L138" s="31">
        <v>2017</v>
      </c>
      <c r="M138" s="34">
        <v>51.88</v>
      </c>
    </row>
    <row r="139" spans="11:13" ht="16.5" thickBot="1" x14ac:dyDescent="0.3">
      <c r="K139" s="33" t="s">
        <v>42</v>
      </c>
      <c r="L139" s="31">
        <v>2018</v>
      </c>
      <c r="M139" s="34">
        <v>48.73</v>
      </c>
    </row>
    <row r="140" spans="11:13" ht="16.5" thickBot="1" x14ac:dyDescent="0.3">
      <c r="K140" s="33" t="s">
        <v>42</v>
      </c>
      <c r="L140" s="31">
        <v>2019</v>
      </c>
      <c r="M140" s="34">
        <v>51.64</v>
      </c>
    </row>
    <row r="141" spans="11:13" ht="16.5" thickBot="1" x14ac:dyDescent="0.3">
      <c r="K141" s="33" t="s">
        <v>42</v>
      </c>
      <c r="L141" s="31">
        <v>2020</v>
      </c>
      <c r="M141" s="34">
        <v>57.52</v>
      </c>
    </row>
    <row r="142" spans="11:13" ht="16.5" thickBot="1" x14ac:dyDescent="0.3">
      <c r="K142" s="33" t="s">
        <v>43</v>
      </c>
      <c r="L142" s="31">
        <v>2015</v>
      </c>
      <c r="M142" s="34">
        <v>60.85</v>
      </c>
    </row>
    <row r="143" spans="11:13" ht="16.5" thickBot="1" x14ac:dyDescent="0.3">
      <c r="K143" s="33" t="s">
        <v>43</v>
      </c>
      <c r="L143" s="31">
        <v>2016</v>
      </c>
      <c r="M143" s="34">
        <v>62.89</v>
      </c>
    </row>
    <row r="144" spans="11:13" ht="16.5" thickBot="1" x14ac:dyDescent="0.3">
      <c r="K144" s="33" t="s">
        <v>43</v>
      </c>
      <c r="L144" s="31">
        <v>2017</v>
      </c>
      <c r="M144" s="34">
        <v>60.83</v>
      </c>
    </row>
    <row r="145" spans="11:13" ht="16.5" thickBot="1" x14ac:dyDescent="0.3">
      <c r="K145" s="33" t="s">
        <v>43</v>
      </c>
      <c r="L145" s="31">
        <v>2018</v>
      </c>
      <c r="M145" s="34">
        <v>61.94</v>
      </c>
    </row>
    <row r="146" spans="11:13" ht="16.5" thickBot="1" x14ac:dyDescent="0.3">
      <c r="K146" s="33" t="s">
        <v>43</v>
      </c>
      <c r="L146" s="31">
        <v>2019</v>
      </c>
      <c r="M146" s="34">
        <v>65.16</v>
      </c>
    </row>
    <row r="147" spans="11:13" ht="16.5" thickBot="1" x14ac:dyDescent="0.3">
      <c r="K147" s="33" t="s">
        <v>43</v>
      </c>
      <c r="L147" s="31">
        <v>2020</v>
      </c>
      <c r="M147" s="34">
        <v>67.31</v>
      </c>
    </row>
    <row r="148" spans="11:13" ht="16.5" thickBot="1" x14ac:dyDescent="0.3">
      <c r="K148" s="33" t="s">
        <v>44</v>
      </c>
      <c r="L148" s="31">
        <v>2015</v>
      </c>
      <c r="M148" s="34">
        <v>61.88</v>
      </c>
    </row>
    <row r="149" spans="11:13" ht="16.5" thickBot="1" x14ac:dyDescent="0.3">
      <c r="K149" s="33" t="s">
        <v>44</v>
      </c>
      <c r="L149" s="31">
        <v>2016</v>
      </c>
      <c r="M149" s="34">
        <v>62.8</v>
      </c>
    </row>
    <row r="150" spans="11:13" ht="16.5" thickBot="1" x14ac:dyDescent="0.3">
      <c r="K150" s="33" t="s">
        <v>44</v>
      </c>
      <c r="L150" s="31">
        <v>2017</v>
      </c>
      <c r="M150" s="34">
        <v>62.81</v>
      </c>
    </row>
    <row r="151" spans="11:13" ht="16.5" thickBot="1" x14ac:dyDescent="0.3">
      <c r="K151" s="33" t="s">
        <v>44</v>
      </c>
      <c r="L151" s="31">
        <v>2018</v>
      </c>
      <c r="M151" s="34">
        <v>61.44</v>
      </c>
    </row>
    <row r="152" spans="11:13" ht="16.5" thickBot="1" x14ac:dyDescent="0.3">
      <c r="K152" s="33" t="s">
        <v>44</v>
      </c>
      <c r="L152" s="31">
        <v>2019</v>
      </c>
      <c r="M152" s="34">
        <v>65.58</v>
      </c>
    </row>
    <row r="153" spans="11:13" ht="16.5" thickBot="1" x14ac:dyDescent="0.3">
      <c r="K153" s="33" t="s">
        <v>44</v>
      </c>
      <c r="L153" s="31">
        <v>2020</v>
      </c>
      <c r="M153" s="34">
        <v>64.510000000000005</v>
      </c>
    </row>
    <row r="154" spans="11:13" ht="16.5" thickBot="1" x14ac:dyDescent="0.3">
      <c r="K154" s="33" t="s">
        <v>45</v>
      </c>
      <c r="L154" s="31">
        <v>2015</v>
      </c>
      <c r="M154" s="34">
        <v>53.06</v>
      </c>
    </row>
    <row r="155" spans="11:13" ht="16.5" thickBot="1" x14ac:dyDescent="0.3">
      <c r="K155" s="33" t="s">
        <v>45</v>
      </c>
      <c r="L155" s="31">
        <v>2016</v>
      </c>
      <c r="M155" s="34">
        <v>55.97</v>
      </c>
    </row>
    <row r="156" spans="11:13" ht="16.5" thickBot="1" x14ac:dyDescent="0.3">
      <c r="K156" s="33" t="s">
        <v>45</v>
      </c>
      <c r="L156" s="31">
        <v>2017</v>
      </c>
      <c r="M156" s="34">
        <v>56.05</v>
      </c>
    </row>
    <row r="157" spans="11:13" ht="16.5" thickBot="1" x14ac:dyDescent="0.3">
      <c r="K157" s="33" t="s">
        <v>45</v>
      </c>
      <c r="L157" s="31">
        <v>2018</v>
      </c>
      <c r="M157" s="34">
        <v>58.52</v>
      </c>
    </row>
    <row r="158" spans="11:13" ht="16.5" thickBot="1" x14ac:dyDescent="0.3">
      <c r="K158" s="33" t="s">
        <v>45</v>
      </c>
      <c r="L158" s="31">
        <v>2019</v>
      </c>
      <c r="M158" s="34">
        <v>59.44</v>
      </c>
    </row>
    <row r="159" spans="11:13" ht="16.5" thickBot="1" x14ac:dyDescent="0.3">
      <c r="K159" s="33" t="s">
        <v>45</v>
      </c>
      <c r="L159" s="31">
        <v>2020</v>
      </c>
      <c r="M159" s="34">
        <v>57.66</v>
      </c>
    </row>
    <row r="160" spans="11:13" ht="16.5" thickBot="1" x14ac:dyDescent="0.3">
      <c r="K160" s="33" t="s">
        <v>46</v>
      </c>
      <c r="L160" s="31">
        <v>2015</v>
      </c>
      <c r="M160" s="34">
        <v>57.29</v>
      </c>
    </row>
    <row r="161" spans="11:13" ht="16.5" thickBot="1" x14ac:dyDescent="0.3">
      <c r="K161" s="33" t="s">
        <v>46</v>
      </c>
      <c r="L161" s="31">
        <v>2016</v>
      </c>
      <c r="M161" s="34">
        <v>60.16</v>
      </c>
    </row>
    <row r="162" spans="11:13" ht="16.5" thickBot="1" x14ac:dyDescent="0.3">
      <c r="K162" s="33" t="s">
        <v>46</v>
      </c>
      <c r="L162" s="31">
        <v>2017</v>
      </c>
      <c r="M162" s="34">
        <v>58.68</v>
      </c>
    </row>
    <row r="163" spans="11:13" ht="16.5" thickBot="1" x14ac:dyDescent="0.3">
      <c r="K163" s="33" t="s">
        <v>46</v>
      </c>
      <c r="L163" s="31">
        <v>2018</v>
      </c>
      <c r="M163" s="34">
        <v>58.35</v>
      </c>
    </row>
    <row r="164" spans="11:13" ht="16.5" thickBot="1" x14ac:dyDescent="0.3">
      <c r="K164" s="33" t="s">
        <v>46</v>
      </c>
      <c r="L164" s="31">
        <v>2019</v>
      </c>
      <c r="M164" s="34">
        <v>60.96</v>
      </c>
    </row>
    <row r="165" spans="11:13" ht="16.5" thickBot="1" x14ac:dyDescent="0.3">
      <c r="K165" s="33" t="s">
        <v>46</v>
      </c>
      <c r="L165" s="31">
        <v>2020</v>
      </c>
      <c r="M165" s="34">
        <v>61.21</v>
      </c>
    </row>
    <row r="166" spans="11:13" ht="16.5" thickBot="1" x14ac:dyDescent="0.3">
      <c r="K166" s="33" t="s">
        <v>47</v>
      </c>
      <c r="L166" s="31">
        <v>2015</v>
      </c>
      <c r="M166" s="34">
        <v>54.55</v>
      </c>
    </row>
    <row r="167" spans="11:13" ht="16.5" thickBot="1" x14ac:dyDescent="0.3">
      <c r="K167" s="33" t="s">
        <v>47</v>
      </c>
      <c r="L167" s="31">
        <v>2016</v>
      </c>
      <c r="M167" s="34">
        <v>54.55</v>
      </c>
    </row>
    <row r="168" spans="11:13" ht="16.5" thickBot="1" x14ac:dyDescent="0.3">
      <c r="K168" s="33" t="s">
        <v>47</v>
      </c>
      <c r="L168" s="31">
        <v>2017</v>
      </c>
      <c r="M168" s="34">
        <v>52.62</v>
      </c>
    </row>
    <row r="169" spans="11:13" ht="16.5" thickBot="1" x14ac:dyDescent="0.3">
      <c r="K169" s="33" t="s">
        <v>47</v>
      </c>
      <c r="L169" s="31">
        <v>2018</v>
      </c>
      <c r="M169" s="34">
        <v>55.33</v>
      </c>
    </row>
    <row r="170" spans="11:13" ht="16.5" thickBot="1" x14ac:dyDescent="0.3">
      <c r="K170" s="33" t="s">
        <v>47</v>
      </c>
      <c r="L170" s="31">
        <v>2019</v>
      </c>
      <c r="M170" s="34">
        <v>54.73</v>
      </c>
    </row>
    <row r="171" spans="11:13" ht="16.5" thickBot="1" x14ac:dyDescent="0.3">
      <c r="K171" s="33" t="s">
        <v>47</v>
      </c>
      <c r="L171" s="31">
        <v>2020</v>
      </c>
      <c r="M171" s="34">
        <v>58.31</v>
      </c>
    </row>
    <row r="172" spans="11:13" ht="16.5" thickBot="1" x14ac:dyDescent="0.3">
      <c r="K172" s="33" t="s">
        <v>48</v>
      </c>
      <c r="L172" s="31">
        <v>2015</v>
      </c>
      <c r="M172" s="34">
        <v>57.14</v>
      </c>
    </row>
    <row r="173" spans="11:13" ht="16.5" thickBot="1" x14ac:dyDescent="0.3">
      <c r="K173" s="33" t="s">
        <v>48</v>
      </c>
      <c r="L173" s="31">
        <v>2016</v>
      </c>
      <c r="M173" s="34">
        <v>59.47</v>
      </c>
    </row>
    <row r="174" spans="11:13" ht="16.5" thickBot="1" x14ac:dyDescent="0.3">
      <c r="K174" s="33" t="s">
        <v>48</v>
      </c>
      <c r="L174" s="31">
        <v>2017</v>
      </c>
      <c r="M174" s="34">
        <v>59.13</v>
      </c>
    </row>
    <row r="175" spans="11:13" ht="16.5" thickBot="1" x14ac:dyDescent="0.3">
      <c r="K175" s="33" t="s">
        <v>48</v>
      </c>
      <c r="L175" s="31">
        <v>2018</v>
      </c>
      <c r="M175" s="34">
        <v>58.53</v>
      </c>
    </row>
    <row r="176" spans="11:13" ht="16.5" thickBot="1" x14ac:dyDescent="0.3">
      <c r="K176" s="33" t="s">
        <v>48</v>
      </c>
      <c r="L176" s="31">
        <v>2019</v>
      </c>
      <c r="M176" s="34">
        <v>62.29</v>
      </c>
    </row>
    <row r="177" spans="11:13" ht="16.5" thickBot="1" x14ac:dyDescent="0.3">
      <c r="K177" s="33" t="s">
        <v>48</v>
      </c>
      <c r="L177" s="31">
        <v>2020</v>
      </c>
      <c r="M177" s="34">
        <v>60.09</v>
      </c>
    </row>
    <row r="178" spans="11:13" ht="16.5" thickBot="1" x14ac:dyDescent="0.3">
      <c r="K178" s="33" t="s">
        <v>49</v>
      </c>
      <c r="L178" s="31">
        <v>2015</v>
      </c>
      <c r="M178" s="34">
        <v>60.7</v>
      </c>
    </row>
    <row r="179" spans="11:13" ht="16.5" thickBot="1" x14ac:dyDescent="0.3">
      <c r="K179" s="33" t="s">
        <v>49</v>
      </c>
      <c r="L179" s="31">
        <v>2016</v>
      </c>
      <c r="M179" s="34">
        <v>61.48</v>
      </c>
    </row>
    <row r="180" spans="11:13" ht="16.5" thickBot="1" x14ac:dyDescent="0.3">
      <c r="K180" s="33" t="s">
        <v>49</v>
      </c>
      <c r="L180" s="31">
        <v>2017</v>
      </c>
      <c r="M180" s="34">
        <v>61.68</v>
      </c>
    </row>
    <row r="181" spans="11:13" ht="16.5" thickBot="1" x14ac:dyDescent="0.3">
      <c r="K181" s="33" t="s">
        <v>49</v>
      </c>
      <c r="L181" s="31">
        <v>2018</v>
      </c>
      <c r="M181" s="34">
        <v>60.32</v>
      </c>
    </row>
    <row r="182" spans="11:13" ht="16.5" thickBot="1" x14ac:dyDescent="0.3">
      <c r="K182" s="33" t="s">
        <v>49</v>
      </c>
      <c r="L182" s="31">
        <v>2019</v>
      </c>
      <c r="M182" s="34">
        <v>64.44</v>
      </c>
    </row>
    <row r="183" spans="11:13" ht="16.5" thickBot="1" x14ac:dyDescent="0.3">
      <c r="K183" s="33" t="s">
        <v>49</v>
      </c>
      <c r="L183" s="31">
        <v>2020</v>
      </c>
      <c r="M183" s="34">
        <v>64.900000000000006</v>
      </c>
    </row>
    <row r="184" spans="11:13" ht="16.5" thickBot="1" x14ac:dyDescent="0.3">
      <c r="K184" s="33" t="s">
        <v>50</v>
      </c>
      <c r="L184" s="31">
        <v>2015</v>
      </c>
      <c r="M184" s="34">
        <v>63.01</v>
      </c>
    </row>
    <row r="185" spans="11:13" ht="16.5" thickBot="1" x14ac:dyDescent="0.3">
      <c r="K185" s="33" t="s">
        <v>50</v>
      </c>
      <c r="L185" s="31">
        <v>2016</v>
      </c>
      <c r="M185" s="34">
        <v>63.4</v>
      </c>
    </row>
    <row r="186" spans="11:13" ht="16.5" thickBot="1" x14ac:dyDescent="0.3">
      <c r="K186" s="33" t="s">
        <v>50</v>
      </c>
      <c r="L186" s="31">
        <v>2017</v>
      </c>
      <c r="M186" s="34">
        <v>63.85</v>
      </c>
    </row>
    <row r="187" spans="11:13" ht="16.5" thickBot="1" x14ac:dyDescent="0.3">
      <c r="K187" s="33" t="s">
        <v>50</v>
      </c>
      <c r="L187" s="31">
        <v>2018</v>
      </c>
      <c r="M187" s="34">
        <v>64.239999999999995</v>
      </c>
    </row>
    <row r="188" spans="11:13" ht="16.5" thickBot="1" x14ac:dyDescent="0.3">
      <c r="K188" s="33" t="s">
        <v>50</v>
      </c>
      <c r="L188" s="31">
        <v>2019</v>
      </c>
      <c r="M188" s="34">
        <v>66.400000000000006</v>
      </c>
    </row>
    <row r="189" spans="11:13" ht="16.5" thickBot="1" x14ac:dyDescent="0.3">
      <c r="K189" s="33" t="s">
        <v>50</v>
      </c>
      <c r="L189" s="31">
        <v>2020</v>
      </c>
      <c r="M189" s="34">
        <v>64.930000000000007</v>
      </c>
    </row>
    <row r="190" spans="11:13" ht="16.5" thickBot="1" x14ac:dyDescent="0.3">
      <c r="K190" s="33" t="s">
        <v>51</v>
      </c>
      <c r="L190" s="31">
        <v>2015</v>
      </c>
      <c r="M190" s="34">
        <v>55.67</v>
      </c>
    </row>
    <row r="191" spans="11:13" ht="16.5" thickBot="1" x14ac:dyDescent="0.3">
      <c r="K191" s="33" t="s">
        <v>51</v>
      </c>
      <c r="L191" s="31">
        <v>2016</v>
      </c>
      <c r="M191" s="34">
        <v>54.33</v>
      </c>
    </row>
    <row r="192" spans="11:13" ht="16.5" thickBot="1" x14ac:dyDescent="0.3">
      <c r="K192" s="33" t="s">
        <v>51</v>
      </c>
      <c r="L192" s="31">
        <v>2017</v>
      </c>
      <c r="M192" s="34">
        <v>57.6</v>
      </c>
    </row>
    <row r="193" spans="11:13" ht="16.5" thickBot="1" x14ac:dyDescent="0.3">
      <c r="K193" s="33" t="s">
        <v>51</v>
      </c>
      <c r="L193" s="31">
        <v>2018</v>
      </c>
      <c r="M193" s="34">
        <v>55.01</v>
      </c>
    </row>
    <row r="194" spans="11:13" ht="16.5" thickBot="1" x14ac:dyDescent="0.3">
      <c r="K194" s="33" t="s">
        <v>51</v>
      </c>
      <c r="L194" s="31">
        <v>2019</v>
      </c>
      <c r="M194" s="34">
        <v>59.03</v>
      </c>
    </row>
    <row r="195" spans="11:13" ht="16.5" thickBot="1" x14ac:dyDescent="0.3">
      <c r="K195" s="33" t="s">
        <v>51</v>
      </c>
      <c r="L195" s="31">
        <v>2020</v>
      </c>
      <c r="M195" s="34">
        <v>59.34</v>
      </c>
    </row>
    <row r="196" spans="11:13" ht="16.5" thickBot="1" x14ac:dyDescent="0.3">
      <c r="K196" s="33" t="s">
        <v>52</v>
      </c>
      <c r="L196" s="31">
        <v>2015</v>
      </c>
      <c r="M196" s="34">
        <v>55.54</v>
      </c>
    </row>
    <row r="197" spans="11:13" ht="16.5" thickBot="1" x14ac:dyDescent="0.3">
      <c r="K197" s="33" t="s">
        <v>52</v>
      </c>
      <c r="L197" s="31">
        <v>2016</v>
      </c>
      <c r="M197" s="34">
        <v>43.04</v>
      </c>
    </row>
    <row r="198" spans="11:13" ht="16.5" thickBot="1" x14ac:dyDescent="0.3">
      <c r="K198" s="33" t="s">
        <v>52</v>
      </c>
      <c r="L198" s="31">
        <v>2017</v>
      </c>
      <c r="M198" s="34">
        <v>43.29</v>
      </c>
    </row>
    <row r="199" spans="11:13" ht="16.5" thickBot="1" x14ac:dyDescent="0.3">
      <c r="K199" s="33" t="s">
        <v>52</v>
      </c>
      <c r="L199" s="31">
        <v>2018</v>
      </c>
      <c r="M199" s="34">
        <v>47.06</v>
      </c>
    </row>
    <row r="200" spans="11:13" ht="16.5" thickBot="1" x14ac:dyDescent="0.3">
      <c r="K200" s="33" t="s">
        <v>52</v>
      </c>
      <c r="L200" s="31">
        <v>2019</v>
      </c>
      <c r="M200" s="34">
        <v>53.38</v>
      </c>
    </row>
    <row r="201" spans="11:13" ht="16.5" thickBot="1" x14ac:dyDescent="0.3">
      <c r="K201" s="33" t="s">
        <v>52</v>
      </c>
      <c r="L201" s="31">
        <v>2020</v>
      </c>
      <c r="M201" s="34">
        <v>52.99</v>
      </c>
    </row>
    <row r="202" spans="11:13" ht="16.5" thickBot="1" x14ac:dyDescent="0.3">
      <c r="K202" s="33" t="s">
        <v>53</v>
      </c>
      <c r="L202" s="31">
        <v>2015</v>
      </c>
      <c r="M202" s="34">
        <v>68.290000000000006</v>
      </c>
    </row>
    <row r="203" spans="11:13" ht="16.5" thickBot="1" x14ac:dyDescent="0.3">
      <c r="K203" s="33" t="s">
        <v>53</v>
      </c>
      <c r="L203" s="31">
        <v>2016</v>
      </c>
      <c r="M203" s="34">
        <v>68.87</v>
      </c>
    </row>
    <row r="204" spans="11:13" ht="16.5" thickBot="1" x14ac:dyDescent="0.3">
      <c r="K204" s="33" t="s">
        <v>53</v>
      </c>
      <c r="L204" s="31">
        <v>2017</v>
      </c>
      <c r="M204" s="34">
        <v>68.8</v>
      </c>
    </row>
    <row r="205" spans="11:13" ht="16.5" thickBot="1" x14ac:dyDescent="0.3">
      <c r="K205" s="33" t="s">
        <v>53</v>
      </c>
      <c r="L205" s="31">
        <v>2018</v>
      </c>
      <c r="M205" s="34">
        <v>67.77</v>
      </c>
    </row>
    <row r="206" spans="11:13" ht="16.5" thickBot="1" x14ac:dyDescent="0.3">
      <c r="K206" s="33" t="s">
        <v>53</v>
      </c>
      <c r="L206" s="31">
        <v>2019</v>
      </c>
      <c r="M206" s="34">
        <v>69.84</v>
      </c>
    </row>
    <row r="207" spans="11:13" ht="16.5" thickBot="1" x14ac:dyDescent="0.3">
      <c r="K207" s="33" t="s">
        <v>53</v>
      </c>
      <c r="L207" s="31">
        <v>2020</v>
      </c>
      <c r="M207" s="34">
        <v>68.3</v>
      </c>
    </row>
  </sheetData>
  <sortState ref="A2:C35">
    <sortCondition ref="A2"/>
  </sortState>
  <mergeCells count="2">
    <mergeCell ref="B2:B3"/>
    <mergeCell ref="C2:H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5"/>
  <sheetViews>
    <sheetView workbookViewId="0">
      <selection activeCell="H6" sqref="H6"/>
    </sheetView>
  </sheetViews>
  <sheetFormatPr defaultRowHeight="15" x14ac:dyDescent="0.25"/>
  <cols>
    <col min="1" max="1" width="27.28515625" customWidth="1"/>
    <col min="3" max="6" width="10.7109375" customWidth="1"/>
    <col min="8" max="8" width="11.28515625" bestFit="1" customWidth="1"/>
    <col min="9" max="9" width="15.5703125" bestFit="1" customWidth="1"/>
    <col min="10" max="10" width="13.85546875" bestFit="1" customWidth="1"/>
    <col min="11" max="11" width="13.7109375" bestFit="1" customWidth="1"/>
  </cols>
  <sheetData>
    <row r="1" spans="1:11" ht="16.5" thickBot="1" x14ac:dyDescent="0.3">
      <c r="A1" s="1" t="s">
        <v>0</v>
      </c>
      <c r="B1" s="2" t="s">
        <v>1</v>
      </c>
      <c r="C1" s="18" t="s">
        <v>19</v>
      </c>
      <c r="D1" s="19" t="s">
        <v>89</v>
      </c>
      <c r="E1" s="19" t="s">
        <v>98</v>
      </c>
      <c r="F1" s="19" t="s">
        <v>90</v>
      </c>
      <c r="H1" s="28" t="s">
        <v>99</v>
      </c>
      <c r="I1" s="28" t="s">
        <v>95</v>
      </c>
      <c r="J1" s="28" t="s">
        <v>97</v>
      </c>
      <c r="K1" s="28" t="s">
        <v>96</v>
      </c>
    </row>
    <row r="2" spans="1:11" ht="16.5" thickBot="1" x14ac:dyDescent="0.3">
      <c r="A2" s="6" t="s">
        <v>20</v>
      </c>
      <c r="B2" s="2">
        <v>2015</v>
      </c>
      <c r="C2" s="42">
        <v>63.36</v>
      </c>
      <c r="D2" s="19">
        <v>4192.3999999999996</v>
      </c>
      <c r="E2" s="19">
        <v>21.2</v>
      </c>
      <c r="F2" s="19">
        <v>12611106</v>
      </c>
      <c r="H2" s="29">
        <f>LN(C2)</f>
        <v>4.1488327475061704</v>
      </c>
      <c r="I2" s="29">
        <f t="shared" ref="I2:K17" si="0">LN(D2)</f>
        <v>8.3410286412960222</v>
      </c>
      <c r="J2" s="29">
        <f t="shared" si="0"/>
        <v>3.0540011816779669</v>
      </c>
      <c r="K2" s="29">
        <f t="shared" si="0"/>
        <v>16.350088412263087</v>
      </c>
    </row>
    <row r="3" spans="1:11" ht="16.5" thickBot="1" x14ac:dyDescent="0.3">
      <c r="A3" s="6" t="s">
        <v>20</v>
      </c>
      <c r="B3" s="2">
        <v>2016</v>
      </c>
      <c r="C3" s="43">
        <v>63.57</v>
      </c>
      <c r="D3" s="19">
        <v>2456.1</v>
      </c>
      <c r="E3" s="19">
        <v>134.5</v>
      </c>
      <c r="F3" s="19">
        <v>12653241</v>
      </c>
      <c r="H3" s="29">
        <f t="shared" ref="H3:H66" si="1">LN(C3)</f>
        <v>4.1521416609483177</v>
      </c>
      <c r="I3" s="29">
        <f t="shared" si="0"/>
        <v>7.806330005050512</v>
      </c>
      <c r="J3" s="29">
        <f t="shared" si="0"/>
        <v>4.9015641990418937</v>
      </c>
      <c r="K3" s="29">
        <f t="shared" si="0"/>
        <v>16.353423945856367</v>
      </c>
    </row>
    <row r="4" spans="1:11" ht="16.5" thickBot="1" x14ac:dyDescent="0.3">
      <c r="A4" s="6" t="s">
        <v>20</v>
      </c>
      <c r="B4" s="2">
        <v>2017</v>
      </c>
      <c r="C4" s="43">
        <v>64.97</v>
      </c>
      <c r="D4" s="19">
        <v>782.8</v>
      </c>
      <c r="E4" s="19">
        <v>23.2</v>
      </c>
      <c r="F4" s="19">
        <v>14813723</v>
      </c>
      <c r="H4" s="29">
        <f t="shared" si="1"/>
        <v>4.1739256248924397</v>
      </c>
      <c r="I4" s="29">
        <f t="shared" si="0"/>
        <v>6.662877235521921</v>
      </c>
      <c r="J4" s="29">
        <f t="shared" si="0"/>
        <v>3.1441522786722644</v>
      </c>
      <c r="K4" s="29">
        <f t="shared" si="0"/>
        <v>16.511064538852132</v>
      </c>
    </row>
    <row r="5" spans="1:11" ht="16.5" thickBot="1" x14ac:dyDescent="0.3">
      <c r="A5" s="6" t="s">
        <v>20</v>
      </c>
      <c r="B5" s="2">
        <v>2018</v>
      </c>
      <c r="C5" s="43">
        <v>61.09</v>
      </c>
      <c r="D5" s="19">
        <v>970</v>
      </c>
      <c r="E5" s="19">
        <v>71.2</v>
      </c>
      <c r="F5" s="19">
        <v>15335355</v>
      </c>
      <c r="H5" s="29">
        <f t="shared" si="1"/>
        <v>4.1123481866616753</v>
      </c>
      <c r="I5" s="29">
        <f t="shared" si="0"/>
        <v>6.8772960714974287</v>
      </c>
      <c r="J5" s="29">
        <f t="shared" si="0"/>
        <v>4.2654928184179299</v>
      </c>
      <c r="K5" s="29">
        <f t="shared" si="0"/>
        <v>16.545671504920186</v>
      </c>
    </row>
    <row r="6" spans="1:11" ht="16.5" thickBot="1" x14ac:dyDescent="0.3">
      <c r="A6" s="6" t="s">
        <v>20</v>
      </c>
      <c r="B6" s="2">
        <v>2019</v>
      </c>
      <c r="C6" s="43">
        <v>65.36</v>
      </c>
      <c r="D6" s="19">
        <v>3606.9</v>
      </c>
      <c r="E6" s="19">
        <v>137.5</v>
      </c>
      <c r="F6" s="19">
        <v>17177507</v>
      </c>
      <c r="H6" s="29">
        <f t="shared" si="1"/>
        <v>4.1799104505517475</v>
      </c>
      <c r="I6" s="29">
        <f t="shared" si="0"/>
        <v>8.1906039566489728</v>
      </c>
      <c r="J6" s="29">
        <f t="shared" si="0"/>
        <v>4.9236239171066263</v>
      </c>
      <c r="K6" s="29">
        <f t="shared" si="0"/>
        <v>16.659111353397108</v>
      </c>
    </row>
    <row r="7" spans="1:11" ht="16.5" thickBot="1" x14ac:dyDescent="0.3">
      <c r="A7" s="6" t="s">
        <v>20</v>
      </c>
      <c r="B7" s="2">
        <v>2020</v>
      </c>
      <c r="C7" s="43">
        <v>64.83</v>
      </c>
      <c r="D7" s="19">
        <v>8241.1</v>
      </c>
      <c r="E7" s="19">
        <v>51.1</v>
      </c>
      <c r="F7" s="19">
        <v>17288018</v>
      </c>
      <c r="H7" s="29">
        <f t="shared" si="1"/>
        <v>4.1717684591869046</v>
      </c>
      <c r="I7" s="29">
        <f t="shared" si="0"/>
        <v>9.0168891091394645</v>
      </c>
      <c r="J7" s="29">
        <f t="shared" si="0"/>
        <v>3.9337844972096589</v>
      </c>
      <c r="K7" s="29">
        <f t="shared" si="0"/>
        <v>16.665524218352953</v>
      </c>
    </row>
    <row r="8" spans="1:11" ht="16.5" thickBot="1" x14ac:dyDescent="0.3">
      <c r="A8" s="6" t="s">
        <v>21</v>
      </c>
      <c r="B8" s="2">
        <v>2015</v>
      </c>
      <c r="C8" s="43">
        <v>63.95</v>
      </c>
      <c r="D8" s="19">
        <v>1250.4000000000001</v>
      </c>
      <c r="E8" s="19">
        <v>495.8</v>
      </c>
      <c r="F8" s="19">
        <v>5873708</v>
      </c>
      <c r="H8" s="29">
        <f t="shared" si="1"/>
        <v>4.1581015280248517</v>
      </c>
      <c r="I8" s="29">
        <f t="shared" si="0"/>
        <v>7.1312187791072672</v>
      </c>
      <c r="J8" s="29">
        <f t="shared" si="0"/>
        <v>6.20617261960109</v>
      </c>
      <c r="K8" s="29">
        <f t="shared" si="0"/>
        <v>15.585996678916054</v>
      </c>
    </row>
    <row r="9" spans="1:11" ht="16.5" thickBot="1" x14ac:dyDescent="0.3">
      <c r="A9" s="6" t="s">
        <v>21</v>
      </c>
      <c r="B9" s="2">
        <v>2016</v>
      </c>
      <c r="C9" s="43">
        <v>63.17</v>
      </c>
      <c r="D9" s="19">
        <v>482.3</v>
      </c>
      <c r="E9" s="19">
        <v>450.6</v>
      </c>
      <c r="F9" s="19">
        <v>5923695</v>
      </c>
      <c r="H9" s="29">
        <f t="shared" si="1"/>
        <v>4.1458295049106093</v>
      </c>
      <c r="I9" s="29">
        <f t="shared" si="0"/>
        <v>6.1785663270749263</v>
      </c>
      <c r="J9" s="29">
        <f t="shared" si="0"/>
        <v>6.1105800279981439</v>
      </c>
      <c r="K9" s="29">
        <f t="shared" si="0"/>
        <v>15.594470967561621</v>
      </c>
    </row>
    <row r="10" spans="1:11" ht="16.5" thickBot="1" x14ac:dyDescent="0.3">
      <c r="A10" s="6" t="s">
        <v>21</v>
      </c>
      <c r="B10" s="2">
        <v>2017</v>
      </c>
      <c r="C10" s="43">
        <v>63.5</v>
      </c>
      <c r="D10" s="19">
        <v>592.5</v>
      </c>
      <c r="E10" s="19">
        <v>886.9</v>
      </c>
      <c r="F10" s="19">
        <v>6478849</v>
      </c>
      <c r="H10" s="29">
        <f t="shared" si="1"/>
        <v>4.1510399058986458</v>
      </c>
      <c r="I10" s="29">
        <f t="shared" si="0"/>
        <v>6.3843508730092866</v>
      </c>
      <c r="J10" s="29">
        <f t="shared" si="0"/>
        <v>6.7877322363824071</v>
      </c>
      <c r="K10" s="29">
        <f t="shared" si="0"/>
        <v>15.684053429094753</v>
      </c>
    </row>
    <row r="11" spans="1:11" ht="16.5" thickBot="1" x14ac:dyDescent="0.3">
      <c r="A11" s="6" t="s">
        <v>21</v>
      </c>
      <c r="B11" s="2">
        <v>2018</v>
      </c>
      <c r="C11" s="43">
        <v>61.54</v>
      </c>
      <c r="D11" s="19">
        <v>1548.8</v>
      </c>
      <c r="E11" s="19">
        <v>1002.5</v>
      </c>
      <c r="F11" s="19">
        <v>6701282</v>
      </c>
      <c r="H11" s="29">
        <f t="shared" si="1"/>
        <v>4.1196873698938958</v>
      </c>
      <c r="I11" s="29">
        <f t="shared" si="0"/>
        <v>7.3452357165223123</v>
      </c>
      <c r="J11" s="29">
        <f t="shared" si="0"/>
        <v>6.9102521591807244</v>
      </c>
      <c r="K11" s="29">
        <f t="shared" si="0"/>
        <v>15.717809409340985</v>
      </c>
    </row>
    <row r="12" spans="1:11" ht="16.5" thickBot="1" x14ac:dyDescent="0.3">
      <c r="A12" s="6" t="s">
        <v>21</v>
      </c>
      <c r="B12" s="2">
        <v>2019</v>
      </c>
      <c r="C12" s="43">
        <v>67.260000000000005</v>
      </c>
      <c r="D12" s="19">
        <v>7393.2</v>
      </c>
      <c r="E12" s="19">
        <v>426</v>
      </c>
      <c r="F12" s="19">
        <v>6834256</v>
      </c>
      <c r="H12" s="29">
        <f t="shared" si="1"/>
        <v>4.2085657063121236</v>
      </c>
      <c r="I12" s="29">
        <f t="shared" si="0"/>
        <v>8.9083159378085259</v>
      </c>
      <c r="J12" s="29">
        <f t="shared" si="0"/>
        <v>6.0544393462693709</v>
      </c>
      <c r="K12" s="29">
        <f t="shared" si="0"/>
        <v>15.737458170715799</v>
      </c>
    </row>
    <row r="13" spans="1:11" ht="16.5" thickBot="1" x14ac:dyDescent="0.3">
      <c r="A13" s="6" t="s">
        <v>21</v>
      </c>
      <c r="B13" s="2">
        <v>2020</v>
      </c>
      <c r="C13" s="43">
        <v>64.23</v>
      </c>
      <c r="D13" s="19">
        <v>5432.7</v>
      </c>
      <c r="E13" s="19">
        <v>293.3</v>
      </c>
      <c r="F13" s="19">
        <v>6550978</v>
      </c>
      <c r="H13" s="29">
        <f t="shared" si="1"/>
        <v>4.162470391269701</v>
      </c>
      <c r="I13" s="29">
        <f t="shared" si="0"/>
        <v>8.6001915269154061</v>
      </c>
      <c r="J13" s="29">
        <f t="shared" si="0"/>
        <v>5.681195975983405</v>
      </c>
      <c r="K13" s="29">
        <f t="shared" si="0"/>
        <v>15.695124909442461</v>
      </c>
    </row>
    <row r="14" spans="1:11" ht="16.5" thickBot="1" x14ac:dyDescent="0.3">
      <c r="A14" s="6" t="s">
        <v>22</v>
      </c>
      <c r="B14" s="2">
        <v>2015</v>
      </c>
      <c r="C14" s="43">
        <v>60.83</v>
      </c>
      <c r="D14" s="19">
        <v>10709.9</v>
      </c>
      <c r="E14" s="19">
        <v>2542</v>
      </c>
      <c r="F14" s="19">
        <v>9236215</v>
      </c>
      <c r="H14" s="29">
        <f t="shared" si="1"/>
        <v>4.1080830883326138</v>
      </c>
      <c r="I14" s="29">
        <f t="shared" si="0"/>
        <v>9.2789238263300433</v>
      </c>
      <c r="J14" s="29">
        <f t="shared" si="0"/>
        <v>7.8407064517493996</v>
      </c>
      <c r="K14" s="29">
        <f t="shared" si="0"/>
        <v>16.038642727661113</v>
      </c>
    </row>
    <row r="15" spans="1:11" ht="16.5" thickBot="1" x14ac:dyDescent="0.3">
      <c r="A15" s="6" t="s">
        <v>22</v>
      </c>
      <c r="B15" s="2">
        <v>2016</v>
      </c>
      <c r="C15" s="43">
        <v>63.27</v>
      </c>
      <c r="D15" s="19">
        <v>12426.3</v>
      </c>
      <c r="E15" s="19">
        <v>2912.1</v>
      </c>
      <c r="F15" s="19">
        <v>9786470</v>
      </c>
      <c r="H15" s="29">
        <f t="shared" si="1"/>
        <v>4.1474112831587933</v>
      </c>
      <c r="I15" s="29">
        <f t="shared" si="0"/>
        <v>9.4275704732583261</v>
      </c>
      <c r="J15" s="29">
        <f t="shared" si="0"/>
        <v>7.9766297493862899</v>
      </c>
      <c r="K15" s="29">
        <f t="shared" si="0"/>
        <v>16.096511377472716</v>
      </c>
    </row>
    <row r="16" spans="1:11" ht="16.5" thickBot="1" x14ac:dyDescent="0.3">
      <c r="A16" s="6" t="s">
        <v>22</v>
      </c>
      <c r="B16" s="2">
        <v>2017</v>
      </c>
      <c r="C16" s="43">
        <v>63.33</v>
      </c>
      <c r="D16" s="19">
        <v>15141.9</v>
      </c>
      <c r="E16" s="19">
        <v>3047.5</v>
      </c>
      <c r="F16" s="19">
        <v>10265222</v>
      </c>
      <c r="H16" s="29">
        <f t="shared" si="1"/>
        <v>4.1483591505283393</v>
      </c>
      <c r="I16" s="29">
        <f t="shared" si="0"/>
        <v>9.6252210144940396</v>
      </c>
      <c r="J16" s="29">
        <f t="shared" si="0"/>
        <v>8.0220768613554263</v>
      </c>
      <c r="K16" s="29">
        <f t="shared" si="0"/>
        <v>16.144272235088795</v>
      </c>
    </row>
    <row r="17" spans="1:11" ht="16.5" thickBot="1" x14ac:dyDescent="0.3">
      <c r="A17" s="6" t="s">
        <v>22</v>
      </c>
      <c r="B17" s="2">
        <v>2018</v>
      </c>
      <c r="C17" s="43">
        <v>61.27</v>
      </c>
      <c r="D17" s="19">
        <v>18637.599999999999</v>
      </c>
      <c r="E17" s="19">
        <v>2827.3</v>
      </c>
      <c r="F17" s="19">
        <v>11072775</v>
      </c>
      <c r="H17" s="29">
        <f t="shared" si="1"/>
        <v>4.1152903267375631</v>
      </c>
      <c r="I17" s="29">
        <f t="shared" si="0"/>
        <v>9.8329363245850914</v>
      </c>
      <c r="J17" s="29">
        <f t="shared" si="0"/>
        <v>7.9470774716246808</v>
      </c>
      <c r="K17" s="29">
        <f t="shared" si="0"/>
        <v>16.21999995077724</v>
      </c>
    </row>
    <row r="18" spans="1:11" ht="16.5" thickBot="1" x14ac:dyDescent="0.3">
      <c r="A18" s="6" t="s">
        <v>22</v>
      </c>
      <c r="B18" s="2">
        <v>2019</v>
      </c>
      <c r="C18" s="43">
        <v>63.5</v>
      </c>
      <c r="D18" s="19">
        <v>20708.400000000001</v>
      </c>
      <c r="E18" s="19">
        <v>1868.2</v>
      </c>
      <c r="F18" s="19">
        <v>12285531</v>
      </c>
      <c r="H18" s="29">
        <f t="shared" si="1"/>
        <v>4.1510399058986458</v>
      </c>
      <c r="I18" s="29">
        <f t="shared" ref="I18:I81" si="2">LN(D18)</f>
        <v>9.9382946940415344</v>
      </c>
      <c r="J18" s="29">
        <f t="shared" ref="J18:J81" si="3">LN(E18)</f>
        <v>7.5327306794387487</v>
      </c>
      <c r="K18" s="29">
        <f t="shared" ref="K18:K81" si="4">LN(F18)</f>
        <v>16.323932786446534</v>
      </c>
    </row>
    <row r="19" spans="1:11" ht="16.5" thickBot="1" x14ac:dyDescent="0.3">
      <c r="A19" s="6" t="s">
        <v>22</v>
      </c>
      <c r="B19" s="2">
        <v>2020</v>
      </c>
      <c r="C19" s="43">
        <v>60.88</v>
      </c>
      <c r="D19" s="19">
        <v>31145.7</v>
      </c>
      <c r="E19" s="19">
        <v>2143.6</v>
      </c>
      <c r="F19" s="19">
        <v>12122344</v>
      </c>
      <c r="H19" s="29">
        <f t="shared" si="1"/>
        <v>4.1089047135534305</v>
      </c>
      <c r="I19" s="29">
        <f t="shared" si="2"/>
        <v>10.346431472953414</v>
      </c>
      <c r="J19" s="29">
        <f t="shared" si="3"/>
        <v>7.6702419376206947</v>
      </c>
      <c r="K19" s="29">
        <f t="shared" si="4"/>
        <v>16.310560919246136</v>
      </c>
    </row>
    <row r="20" spans="1:11" ht="16.5" thickBot="1" x14ac:dyDescent="0.3">
      <c r="A20" s="6" t="s">
        <v>23</v>
      </c>
      <c r="B20" s="2">
        <v>2015</v>
      </c>
      <c r="C20" s="43">
        <v>59.97</v>
      </c>
      <c r="D20" s="19">
        <v>553.9</v>
      </c>
      <c r="E20" s="19">
        <v>20.6</v>
      </c>
      <c r="F20" s="19">
        <v>2436204</v>
      </c>
      <c r="H20" s="29">
        <f t="shared" si="1"/>
        <v>4.0938444371804188</v>
      </c>
      <c r="I20" s="29">
        <f t="shared" si="2"/>
        <v>6.3169841650390586</v>
      </c>
      <c r="J20" s="29">
        <f t="shared" si="3"/>
        <v>3.0252910757955354</v>
      </c>
      <c r="K20" s="29">
        <f t="shared" si="4"/>
        <v>14.70595164814797</v>
      </c>
    </row>
    <row r="21" spans="1:11" ht="16.5" thickBot="1" x14ac:dyDescent="0.3">
      <c r="A21" s="6" t="s">
        <v>23</v>
      </c>
      <c r="B21" s="2">
        <v>2016</v>
      </c>
      <c r="C21" s="43">
        <v>61.39</v>
      </c>
      <c r="D21" s="19">
        <v>949.1</v>
      </c>
      <c r="E21" s="19">
        <v>55.7</v>
      </c>
      <c r="F21" s="19">
        <v>2491651</v>
      </c>
      <c r="H21" s="29">
        <f t="shared" si="1"/>
        <v>4.1172469554394047</v>
      </c>
      <c r="I21" s="29">
        <f t="shared" si="2"/>
        <v>6.8555141671364463</v>
      </c>
      <c r="J21" s="29">
        <f t="shared" si="3"/>
        <v>4.0199801469332384</v>
      </c>
      <c r="K21" s="29">
        <f t="shared" si="4"/>
        <v>14.72845610092773</v>
      </c>
    </row>
    <row r="22" spans="1:11" ht="16.5" thickBot="1" x14ac:dyDescent="0.3">
      <c r="A22" s="6" t="s">
        <v>23</v>
      </c>
      <c r="B22" s="2">
        <v>2017</v>
      </c>
      <c r="C22" s="43">
        <v>64.2</v>
      </c>
      <c r="D22" s="19">
        <v>296.5</v>
      </c>
      <c r="E22" s="19">
        <v>138.69999999999999</v>
      </c>
      <c r="F22" s="19">
        <v>3243391</v>
      </c>
      <c r="H22" s="29">
        <f t="shared" si="1"/>
        <v>4.1620032106959153</v>
      </c>
      <c r="I22" s="29">
        <f t="shared" si="2"/>
        <v>5.6920472184377804</v>
      </c>
      <c r="J22" s="29">
        <f t="shared" si="3"/>
        <v>4.9323133273207862</v>
      </c>
      <c r="K22" s="29">
        <f t="shared" si="4"/>
        <v>14.99212994539768</v>
      </c>
    </row>
    <row r="23" spans="1:11" ht="16.5" thickBot="1" x14ac:dyDescent="0.3">
      <c r="A23" s="6" t="s">
        <v>23</v>
      </c>
      <c r="B23" s="2">
        <v>2018</v>
      </c>
      <c r="C23" s="43">
        <v>61.49</v>
      </c>
      <c r="D23" s="19">
        <v>4902.8</v>
      </c>
      <c r="E23" s="19">
        <v>136.6</v>
      </c>
      <c r="F23" s="19">
        <v>3202896</v>
      </c>
      <c r="H23" s="29">
        <f t="shared" si="1"/>
        <v>4.118874559965378</v>
      </c>
      <c r="I23" s="29">
        <f t="shared" si="2"/>
        <v>8.4975617494670104</v>
      </c>
      <c r="J23" s="29">
        <f t="shared" si="3"/>
        <v>4.9170569471366896</v>
      </c>
      <c r="K23" s="29">
        <f t="shared" si="4"/>
        <v>14.979565958504359</v>
      </c>
    </row>
    <row r="24" spans="1:11" ht="16.5" thickBot="1" x14ac:dyDescent="0.3">
      <c r="A24" s="6" t="s">
        <v>23</v>
      </c>
      <c r="B24" s="2">
        <v>2019</v>
      </c>
      <c r="C24" s="43">
        <v>63.48</v>
      </c>
      <c r="D24" s="19">
        <v>5458.1</v>
      </c>
      <c r="E24" s="19">
        <v>144.80000000000001</v>
      </c>
      <c r="F24" s="19">
        <v>3639871</v>
      </c>
      <c r="H24" s="29">
        <f t="shared" si="1"/>
        <v>4.1507248956582083</v>
      </c>
      <c r="I24" s="29">
        <f t="shared" si="2"/>
        <v>8.604856022830015</v>
      </c>
      <c r="J24" s="29">
        <f t="shared" si="3"/>
        <v>4.9753534799516164</v>
      </c>
      <c r="K24" s="29">
        <f t="shared" si="4"/>
        <v>15.107458799424489</v>
      </c>
    </row>
    <row r="25" spans="1:11" ht="16.5" thickBot="1" x14ac:dyDescent="0.3">
      <c r="A25" s="6" t="s">
        <v>23</v>
      </c>
      <c r="B25" s="2">
        <v>2020</v>
      </c>
      <c r="C25" s="43">
        <v>63.37</v>
      </c>
      <c r="D25" s="19">
        <v>5399.2</v>
      </c>
      <c r="E25" s="19">
        <v>192.3</v>
      </c>
      <c r="F25" s="19">
        <v>2816001</v>
      </c>
      <c r="H25" s="29">
        <f t="shared" si="1"/>
        <v>4.1489905633354258</v>
      </c>
      <c r="I25" s="29">
        <f t="shared" si="2"/>
        <v>8.5940060734291972</v>
      </c>
      <c r="J25" s="29">
        <f t="shared" si="3"/>
        <v>5.259056652594734</v>
      </c>
      <c r="K25" s="29">
        <f t="shared" si="4"/>
        <v>14.850828351373643</v>
      </c>
    </row>
    <row r="26" spans="1:11" ht="16.5" thickBot="1" x14ac:dyDescent="0.3">
      <c r="A26" s="6" t="s">
        <v>24</v>
      </c>
      <c r="B26" s="2">
        <v>2015</v>
      </c>
      <c r="C26" s="43">
        <v>64</v>
      </c>
      <c r="D26" s="19">
        <v>15512.7</v>
      </c>
      <c r="E26" s="19">
        <v>3619.4</v>
      </c>
      <c r="F26" s="19">
        <v>53419020</v>
      </c>
      <c r="H26" s="29">
        <f t="shared" si="1"/>
        <v>4.1588830833596715</v>
      </c>
      <c r="I26" s="29">
        <f t="shared" si="2"/>
        <v>9.6494143222581155</v>
      </c>
      <c r="J26" s="29">
        <f t="shared" si="3"/>
        <v>8.1940635452261006</v>
      </c>
      <c r="K26" s="29">
        <f t="shared" si="4"/>
        <v>17.793677420288745</v>
      </c>
    </row>
    <row r="27" spans="1:11" ht="16.5" thickBot="1" x14ac:dyDescent="0.3">
      <c r="A27" s="6" t="s">
        <v>24</v>
      </c>
      <c r="B27" s="2">
        <v>2016</v>
      </c>
      <c r="C27" s="43">
        <v>64.59</v>
      </c>
      <c r="D27" s="19">
        <v>12216.9</v>
      </c>
      <c r="E27" s="19">
        <v>3398.2</v>
      </c>
      <c r="F27" s="19">
        <v>59392458</v>
      </c>
      <c r="H27" s="29">
        <f t="shared" si="1"/>
        <v>4.1680596000443817</v>
      </c>
      <c r="I27" s="29">
        <f t="shared" si="2"/>
        <v>9.4105755180550155</v>
      </c>
      <c r="J27" s="29">
        <f t="shared" si="3"/>
        <v>8.1310011586516584</v>
      </c>
      <c r="K27" s="29">
        <f t="shared" si="4"/>
        <v>17.899677806574569</v>
      </c>
    </row>
    <row r="28" spans="1:11" ht="16.5" thickBot="1" x14ac:dyDescent="0.3">
      <c r="A28" s="6" t="s">
        <v>24</v>
      </c>
      <c r="B28" s="2">
        <v>2017</v>
      </c>
      <c r="C28" s="43">
        <v>64.55</v>
      </c>
      <c r="D28" s="19">
        <v>47262.3</v>
      </c>
      <c r="E28" s="19">
        <v>4595</v>
      </c>
      <c r="F28" s="19">
        <v>73535704</v>
      </c>
      <c r="H28" s="29">
        <f t="shared" si="1"/>
        <v>4.1674401172926512</v>
      </c>
      <c r="I28" s="29">
        <f t="shared" si="2"/>
        <v>10.763468216505496</v>
      </c>
      <c r="J28" s="29">
        <f t="shared" si="3"/>
        <v>8.4327240347897874</v>
      </c>
      <c r="K28" s="29">
        <f t="shared" si="4"/>
        <v>18.113281614943126</v>
      </c>
    </row>
    <row r="29" spans="1:11" ht="16.5" thickBot="1" x14ac:dyDescent="0.3">
      <c r="A29" s="6" t="s">
        <v>24</v>
      </c>
      <c r="B29" s="2">
        <v>2018</v>
      </c>
      <c r="C29" s="43">
        <v>66.58</v>
      </c>
      <c r="D29" s="19">
        <v>49097.4</v>
      </c>
      <c r="E29" s="19">
        <v>4857.7</v>
      </c>
      <c r="F29" s="19">
        <v>78671228</v>
      </c>
      <c r="H29" s="29">
        <f t="shared" si="1"/>
        <v>4.1984042321468786</v>
      </c>
      <c r="I29" s="29">
        <f t="shared" si="2"/>
        <v>10.801561359223721</v>
      </c>
      <c r="J29" s="29">
        <f t="shared" si="3"/>
        <v>8.4883203538471221</v>
      </c>
      <c r="K29" s="29">
        <f t="shared" si="4"/>
        <v>18.180788055691671</v>
      </c>
    </row>
    <row r="30" spans="1:11" ht="16.5" thickBot="1" x14ac:dyDescent="0.3">
      <c r="A30" s="6" t="s">
        <v>24</v>
      </c>
      <c r="B30" s="2">
        <v>2019</v>
      </c>
      <c r="C30" s="43">
        <v>69.89</v>
      </c>
      <c r="D30" s="19">
        <v>62094.8</v>
      </c>
      <c r="E30" s="19">
        <v>4123</v>
      </c>
      <c r="F30" s="19">
        <v>89088352</v>
      </c>
      <c r="H30" s="29">
        <f t="shared" si="1"/>
        <v>4.2469225774890376</v>
      </c>
      <c r="I30" s="29">
        <f t="shared" si="2"/>
        <v>11.0364175285057</v>
      </c>
      <c r="J30" s="29">
        <f t="shared" si="3"/>
        <v>8.3243363327069009</v>
      </c>
      <c r="K30" s="29">
        <f t="shared" si="4"/>
        <v>18.305139154377795</v>
      </c>
    </row>
    <row r="31" spans="1:11" ht="16.5" thickBot="1" x14ac:dyDescent="0.3">
      <c r="A31" s="6" t="s">
        <v>24</v>
      </c>
      <c r="B31" s="2">
        <v>2020</v>
      </c>
      <c r="C31" s="43">
        <v>70.38</v>
      </c>
      <c r="D31" s="19">
        <v>42954.7</v>
      </c>
      <c r="E31" s="19">
        <v>9.6999999999999993</v>
      </c>
      <c r="F31" s="19">
        <v>61469821</v>
      </c>
      <c r="H31" s="29">
        <f t="shared" si="1"/>
        <v>4.2539091318934394</v>
      </c>
      <c r="I31" s="29">
        <f t="shared" si="2"/>
        <v>10.66790135099469</v>
      </c>
      <c r="J31" s="29">
        <f t="shared" si="3"/>
        <v>2.2721258855093369</v>
      </c>
      <c r="K31" s="29">
        <f t="shared" si="4"/>
        <v>17.934056896889363</v>
      </c>
    </row>
    <row r="32" spans="1:11" ht="16.5" thickBot="1" x14ac:dyDescent="0.3">
      <c r="A32" s="6" t="s">
        <v>25</v>
      </c>
      <c r="B32" s="2">
        <v>2015</v>
      </c>
      <c r="C32" s="43">
        <v>51.16</v>
      </c>
      <c r="D32" s="19">
        <v>94.3</v>
      </c>
      <c r="E32" s="19">
        <v>6.9</v>
      </c>
      <c r="F32" s="19">
        <v>1476327</v>
      </c>
      <c r="H32" s="29">
        <f t="shared" si="1"/>
        <v>3.934957976710642</v>
      </c>
      <c r="I32" s="29">
        <f t="shared" si="2"/>
        <v>4.5464811896394117</v>
      </c>
      <c r="J32" s="29">
        <f t="shared" si="3"/>
        <v>1.9315214116032138</v>
      </c>
      <c r="K32" s="29">
        <f t="shared" si="4"/>
        <v>14.205067804320596</v>
      </c>
    </row>
    <row r="33" spans="1:11" ht="16.5" thickBot="1" x14ac:dyDescent="0.3">
      <c r="A33" s="6" t="s">
        <v>25</v>
      </c>
      <c r="B33" s="2">
        <v>2016</v>
      </c>
      <c r="C33" s="43">
        <v>54.54</v>
      </c>
      <c r="D33" s="19">
        <v>2202.5</v>
      </c>
      <c r="E33" s="19">
        <v>12.7</v>
      </c>
      <c r="F33" s="19">
        <v>1652704</v>
      </c>
      <c r="H33" s="29">
        <f t="shared" si="1"/>
        <v>3.9989343774174424</v>
      </c>
      <c r="I33" s="29">
        <f t="shared" si="2"/>
        <v>7.697348357810335</v>
      </c>
      <c r="J33" s="29">
        <f t="shared" si="3"/>
        <v>2.5416019934645457</v>
      </c>
      <c r="K33" s="29">
        <f t="shared" si="4"/>
        <v>14.317923292407951</v>
      </c>
    </row>
    <row r="34" spans="1:11" ht="16.5" thickBot="1" x14ac:dyDescent="0.3">
      <c r="A34" s="6" t="s">
        <v>25</v>
      </c>
      <c r="B34" s="2">
        <v>2017</v>
      </c>
      <c r="C34" s="43">
        <v>52.14</v>
      </c>
      <c r="D34" s="19">
        <v>888.4</v>
      </c>
      <c r="E34" s="19">
        <v>41.3</v>
      </c>
      <c r="F34" s="19">
        <v>1829857</v>
      </c>
      <c r="H34" s="29">
        <f t="shared" si="1"/>
        <v>3.9539324085053558</v>
      </c>
      <c r="I34" s="29">
        <f t="shared" si="2"/>
        <v>6.7894220920202724</v>
      </c>
      <c r="J34" s="29">
        <f t="shared" si="3"/>
        <v>3.7208624999669868</v>
      </c>
      <c r="K34" s="29">
        <f t="shared" si="4"/>
        <v>14.419748379687849</v>
      </c>
    </row>
    <row r="35" spans="1:11" ht="16.5" thickBot="1" x14ac:dyDescent="0.3">
      <c r="A35" s="6" t="s">
        <v>25</v>
      </c>
      <c r="B35" s="2">
        <v>2018</v>
      </c>
      <c r="C35" s="43">
        <v>55.57</v>
      </c>
      <c r="D35" s="19">
        <v>2666.8</v>
      </c>
      <c r="E35" s="19">
        <v>40.799999999999997</v>
      </c>
      <c r="F35" s="19">
        <v>1889286</v>
      </c>
      <c r="H35" s="29">
        <f t="shared" si="1"/>
        <v>4.0176434872918296</v>
      </c>
      <c r="I35" s="29">
        <f t="shared" si="2"/>
        <v>7.8886345307439054</v>
      </c>
      <c r="J35" s="29">
        <f t="shared" si="3"/>
        <v>3.708682081410116</v>
      </c>
      <c r="K35" s="29">
        <f t="shared" si="4"/>
        <v>14.451709537882046</v>
      </c>
    </row>
    <row r="36" spans="1:11" ht="16.5" thickBot="1" x14ac:dyDescent="0.3">
      <c r="A36" s="6" t="s">
        <v>25</v>
      </c>
      <c r="B36" s="2">
        <v>2019</v>
      </c>
      <c r="C36" s="43">
        <v>57.65</v>
      </c>
      <c r="D36" s="19">
        <v>844.4</v>
      </c>
      <c r="E36" s="19">
        <v>171.3</v>
      </c>
      <c r="F36" s="19">
        <v>1955667</v>
      </c>
      <c r="H36" s="29">
        <f t="shared" si="1"/>
        <v>4.0543902467150676</v>
      </c>
      <c r="I36" s="29">
        <f t="shared" si="2"/>
        <v>6.7386263159741659</v>
      </c>
      <c r="J36" s="29">
        <f t="shared" si="3"/>
        <v>5.1434164053300746</v>
      </c>
      <c r="K36" s="29">
        <f t="shared" si="4"/>
        <v>14.486241869684735</v>
      </c>
    </row>
    <row r="37" spans="1:11" ht="16.5" thickBot="1" x14ac:dyDescent="0.3">
      <c r="A37" s="6" t="s">
        <v>25</v>
      </c>
      <c r="B37" s="2">
        <v>2020</v>
      </c>
      <c r="C37" s="43">
        <v>59.43</v>
      </c>
      <c r="D37" s="19">
        <v>683.6</v>
      </c>
      <c r="E37" s="19">
        <v>3613.3</v>
      </c>
      <c r="F37" s="19">
        <v>1948827</v>
      </c>
      <c r="H37" s="29">
        <f t="shared" si="1"/>
        <v>4.0847991493785694</v>
      </c>
      <c r="I37" s="29">
        <f t="shared" si="2"/>
        <v>6.5273729512414356</v>
      </c>
      <c r="J37" s="29">
        <f t="shared" si="3"/>
        <v>8.1923767611907259</v>
      </c>
      <c r="K37" s="29">
        <f t="shared" si="4"/>
        <v>14.482738211081543</v>
      </c>
    </row>
    <row r="38" spans="1:11" ht="16.5" thickBot="1" x14ac:dyDescent="0.3">
      <c r="A38" s="6" t="s">
        <v>26</v>
      </c>
      <c r="B38" s="2">
        <v>2015</v>
      </c>
      <c r="C38" s="43">
        <v>60.27</v>
      </c>
      <c r="D38" s="19">
        <v>3540.2</v>
      </c>
      <c r="E38" s="19">
        <v>107.7</v>
      </c>
      <c r="F38" s="19">
        <v>3604245</v>
      </c>
      <c r="H38" s="29">
        <f t="shared" si="1"/>
        <v>4.0988344674949531</v>
      </c>
      <c r="I38" s="29">
        <f t="shared" si="2"/>
        <v>8.1719385017070554</v>
      </c>
      <c r="J38" s="29">
        <f t="shared" si="3"/>
        <v>4.6793495841623427</v>
      </c>
      <c r="K38" s="29">
        <f t="shared" si="4"/>
        <v>15.097622875422026</v>
      </c>
    </row>
    <row r="39" spans="1:11" ht="16.5" thickBot="1" x14ac:dyDescent="0.3">
      <c r="A39" s="6" t="s">
        <v>26</v>
      </c>
      <c r="B39" s="2">
        <v>2016</v>
      </c>
      <c r="C39" s="43">
        <v>61.2</v>
      </c>
      <c r="D39" s="19">
        <v>3884.4</v>
      </c>
      <c r="E39" s="19">
        <v>61</v>
      </c>
      <c r="F39" s="19">
        <v>3381885</v>
      </c>
      <c r="H39" s="29">
        <f t="shared" si="1"/>
        <v>4.1141471895182802</v>
      </c>
      <c r="I39" s="29">
        <f t="shared" si="2"/>
        <v>8.2647238107201986</v>
      </c>
      <c r="J39" s="29">
        <f t="shared" si="3"/>
        <v>4.1108738641733114</v>
      </c>
      <c r="K39" s="29">
        <f t="shared" si="4"/>
        <v>15.033943804314333</v>
      </c>
    </row>
    <row r="40" spans="1:11" ht="16.5" thickBot="1" x14ac:dyDescent="0.3">
      <c r="A40" s="6" t="s">
        <v>26</v>
      </c>
      <c r="B40" s="2">
        <v>2017</v>
      </c>
      <c r="C40" s="43">
        <v>61.78</v>
      </c>
      <c r="D40" s="19">
        <v>3006.6</v>
      </c>
      <c r="E40" s="19">
        <v>76.8</v>
      </c>
      <c r="F40" s="19">
        <v>4583486</v>
      </c>
      <c r="H40" s="29">
        <f t="shared" si="1"/>
        <v>4.1235796874904356</v>
      </c>
      <c r="I40" s="29">
        <f t="shared" si="2"/>
        <v>8.0085651511937339</v>
      </c>
      <c r="J40" s="29">
        <f t="shared" si="3"/>
        <v>4.3412046401536264</v>
      </c>
      <c r="K40" s="29">
        <f t="shared" si="4"/>
        <v>15.337970401944919</v>
      </c>
    </row>
    <row r="41" spans="1:11" ht="16.5" thickBot="1" x14ac:dyDescent="0.3">
      <c r="A41" s="6" t="s">
        <v>26</v>
      </c>
      <c r="B41" s="2">
        <v>2018</v>
      </c>
      <c r="C41" s="43">
        <v>62.7</v>
      </c>
      <c r="D41" s="19">
        <v>2876.5</v>
      </c>
      <c r="E41" s="19">
        <v>101.9</v>
      </c>
      <c r="F41" s="19">
        <v>4869537</v>
      </c>
      <c r="H41" s="29">
        <f t="shared" si="1"/>
        <v>4.138361447638875</v>
      </c>
      <c r="I41" s="29">
        <f t="shared" si="2"/>
        <v>7.9643295563033485</v>
      </c>
      <c r="J41" s="29">
        <f t="shared" si="3"/>
        <v>4.6239919402286791</v>
      </c>
      <c r="K41" s="29">
        <f t="shared" si="4"/>
        <v>15.398509418670573</v>
      </c>
    </row>
    <row r="42" spans="1:11" ht="16.5" thickBot="1" x14ac:dyDescent="0.3">
      <c r="A42" s="6" t="s">
        <v>26</v>
      </c>
      <c r="B42" s="2">
        <v>2019</v>
      </c>
      <c r="C42" s="43">
        <v>63.66</v>
      </c>
      <c r="D42" s="19">
        <v>4437.3999999999996</v>
      </c>
      <c r="E42" s="19">
        <v>54.6</v>
      </c>
      <c r="F42" s="19">
        <v>4828407</v>
      </c>
      <c r="H42" s="29">
        <f t="shared" si="1"/>
        <v>4.1535564218539465</v>
      </c>
      <c r="I42" s="29">
        <f t="shared" si="2"/>
        <v>8.3978238983184816</v>
      </c>
      <c r="J42" s="29">
        <f t="shared" si="3"/>
        <v>4.0000338827508592</v>
      </c>
      <c r="K42" s="29">
        <f t="shared" si="4"/>
        <v>15.39002715756367</v>
      </c>
    </row>
    <row r="43" spans="1:11" ht="16.5" thickBot="1" x14ac:dyDescent="0.3">
      <c r="A43" s="6" t="s">
        <v>26</v>
      </c>
      <c r="B43" s="2">
        <v>2020</v>
      </c>
      <c r="C43" s="43">
        <v>61.81</v>
      </c>
      <c r="D43" s="19">
        <v>3511.7</v>
      </c>
      <c r="E43" s="19">
        <v>67.599999999999994</v>
      </c>
      <c r="F43" s="19">
        <v>4820948</v>
      </c>
      <c r="H43" s="29">
        <f t="shared" si="1"/>
        <v>4.1240651636711823</v>
      </c>
      <c r="I43" s="29">
        <f t="shared" si="2"/>
        <v>8.1638555296940893</v>
      </c>
      <c r="J43" s="29">
        <f t="shared" si="3"/>
        <v>4.2136079830489184</v>
      </c>
      <c r="K43" s="29">
        <f t="shared" si="4"/>
        <v>15.388481147185635</v>
      </c>
    </row>
    <row r="44" spans="1:11" ht="16.5" thickBot="1" x14ac:dyDescent="0.3">
      <c r="A44" s="6" t="s">
        <v>27</v>
      </c>
      <c r="B44" s="2">
        <v>2015</v>
      </c>
      <c r="C44" s="43">
        <v>58.11</v>
      </c>
      <c r="D44" s="19">
        <v>26272.9</v>
      </c>
      <c r="E44" s="19">
        <v>5738.7</v>
      </c>
      <c r="F44" s="19">
        <v>28561853</v>
      </c>
      <c r="H44" s="29">
        <f t="shared" si="1"/>
        <v>4.0623377660870146</v>
      </c>
      <c r="I44" s="29">
        <f t="shared" si="2"/>
        <v>10.176293268669051</v>
      </c>
      <c r="J44" s="29">
        <f t="shared" si="3"/>
        <v>8.654987982826718</v>
      </c>
      <c r="K44" s="29">
        <f t="shared" si="4"/>
        <v>17.167582574283362</v>
      </c>
    </row>
    <row r="45" spans="1:11" ht="16.5" thickBot="1" x14ac:dyDescent="0.3">
      <c r="A45" s="6" t="s">
        <v>27</v>
      </c>
      <c r="B45" s="2">
        <v>2016</v>
      </c>
      <c r="C45" s="43">
        <v>56.91</v>
      </c>
      <c r="D45" s="19">
        <v>30360.2</v>
      </c>
      <c r="E45" s="19">
        <v>5470.9</v>
      </c>
      <c r="F45" s="19">
        <v>31344462</v>
      </c>
      <c r="H45" s="29">
        <f t="shared" si="1"/>
        <v>4.0414710726150327</v>
      </c>
      <c r="I45" s="29">
        <f t="shared" si="2"/>
        <v>10.320887819103151</v>
      </c>
      <c r="J45" s="29">
        <f t="shared" si="3"/>
        <v>8.6071984157026638</v>
      </c>
      <c r="K45" s="29">
        <f t="shared" si="4"/>
        <v>17.260548158720926</v>
      </c>
    </row>
    <row r="46" spans="1:11" ht="16.5" thickBot="1" x14ac:dyDescent="0.3">
      <c r="A46" s="6" t="s">
        <v>27</v>
      </c>
      <c r="B46" s="2">
        <v>2017</v>
      </c>
      <c r="C46" s="43">
        <v>55.27</v>
      </c>
      <c r="D46" s="19">
        <v>38390.6</v>
      </c>
      <c r="E46" s="19">
        <v>5142.8999999999996</v>
      </c>
      <c r="F46" s="19">
        <v>35512081</v>
      </c>
      <c r="H46" s="29">
        <f t="shared" si="1"/>
        <v>4.0122302658451714</v>
      </c>
      <c r="I46" s="29">
        <f t="shared" si="2"/>
        <v>10.555567916942781</v>
      </c>
      <c r="J46" s="29">
        <f t="shared" si="3"/>
        <v>8.5453724016815453</v>
      </c>
      <c r="K46" s="29">
        <f t="shared" si="4"/>
        <v>17.385383506412534</v>
      </c>
    </row>
    <row r="47" spans="1:11" ht="16.5" thickBot="1" x14ac:dyDescent="0.3">
      <c r="A47" s="6" t="s">
        <v>27</v>
      </c>
      <c r="B47" s="2">
        <v>2018</v>
      </c>
      <c r="C47" s="43">
        <v>58.09</v>
      </c>
      <c r="D47" s="19">
        <v>42278.2</v>
      </c>
      <c r="E47" s="19">
        <v>5573.5</v>
      </c>
      <c r="F47" s="19">
        <v>36482715</v>
      </c>
      <c r="H47" s="29">
        <f t="shared" si="1"/>
        <v>4.0619935320044416</v>
      </c>
      <c r="I47" s="29">
        <f t="shared" si="2"/>
        <v>10.652026865757186</v>
      </c>
      <c r="J47" s="29">
        <f t="shared" si="3"/>
        <v>8.6257785018296786</v>
      </c>
      <c r="K47" s="29">
        <f t="shared" si="4"/>
        <v>17.412349144743157</v>
      </c>
    </row>
    <row r="48" spans="1:11" ht="16.5" thickBot="1" x14ac:dyDescent="0.3">
      <c r="A48" s="6" t="s">
        <v>27</v>
      </c>
      <c r="B48" s="2">
        <v>2019</v>
      </c>
      <c r="C48" s="43">
        <v>60.1</v>
      </c>
      <c r="D48" s="19">
        <v>49284.2</v>
      </c>
      <c r="E48" s="19">
        <v>5881</v>
      </c>
      <c r="F48" s="19">
        <v>37132309</v>
      </c>
      <c r="H48" s="29">
        <f t="shared" si="1"/>
        <v>4.0960098415411617</v>
      </c>
      <c r="I48" s="29">
        <f t="shared" si="2"/>
        <v>10.805358821848492</v>
      </c>
      <c r="J48" s="29">
        <f t="shared" si="3"/>
        <v>8.6794820944599564</v>
      </c>
      <c r="K48" s="29">
        <f t="shared" si="4"/>
        <v>17.429998011130589</v>
      </c>
    </row>
    <row r="49" spans="1:11" ht="16.5" thickBot="1" x14ac:dyDescent="0.3">
      <c r="A49" s="6" t="s">
        <v>27</v>
      </c>
      <c r="B49" s="2">
        <v>2020</v>
      </c>
      <c r="C49" s="43">
        <v>58.52</v>
      </c>
      <c r="D49" s="19">
        <v>51400.5</v>
      </c>
      <c r="E49" s="19">
        <v>27</v>
      </c>
      <c r="F49" s="19">
        <v>39376316</v>
      </c>
      <c r="H49" s="29">
        <f t="shared" si="1"/>
        <v>4.0693685761519234</v>
      </c>
      <c r="I49" s="29">
        <f t="shared" si="2"/>
        <v>10.847403179022402</v>
      </c>
      <c r="J49" s="29">
        <f t="shared" si="3"/>
        <v>3.2958368660043291</v>
      </c>
      <c r="K49" s="29">
        <f t="shared" si="4"/>
        <v>17.488675076773784</v>
      </c>
    </row>
    <row r="50" spans="1:11" ht="16.5" thickBot="1" x14ac:dyDescent="0.3">
      <c r="A50" s="6" t="s">
        <v>28</v>
      </c>
      <c r="B50" s="2">
        <v>2015</v>
      </c>
      <c r="C50" s="43">
        <v>59.8</v>
      </c>
      <c r="D50" s="19">
        <v>15410.7</v>
      </c>
      <c r="E50" s="19">
        <v>850.4</v>
      </c>
      <c r="F50" s="19">
        <v>18517591</v>
      </c>
      <c r="H50" s="29">
        <f t="shared" si="1"/>
        <v>4.0910056609565864</v>
      </c>
      <c r="I50" s="29">
        <f t="shared" si="2"/>
        <v>9.6428173523311447</v>
      </c>
      <c r="J50" s="29">
        <f t="shared" si="3"/>
        <v>6.7457068270277381</v>
      </c>
      <c r="K50" s="29">
        <f t="shared" si="4"/>
        <v>16.73423170312779</v>
      </c>
    </row>
    <row r="51" spans="1:11" ht="16.5" thickBot="1" x14ac:dyDescent="0.3">
      <c r="A51" s="6" t="s">
        <v>28</v>
      </c>
      <c r="B51" s="2">
        <v>2016</v>
      </c>
      <c r="C51" s="43">
        <v>59.29</v>
      </c>
      <c r="D51" s="19">
        <v>24070.400000000001</v>
      </c>
      <c r="E51" s="19">
        <v>1030.8</v>
      </c>
      <c r="F51" s="19">
        <v>20050498</v>
      </c>
      <c r="H51" s="29">
        <f t="shared" si="1"/>
        <v>4.0824406577192764</v>
      </c>
      <c r="I51" s="29">
        <f t="shared" si="2"/>
        <v>10.088738148835963</v>
      </c>
      <c r="J51" s="29">
        <f t="shared" si="3"/>
        <v>6.9380904787782098</v>
      </c>
      <c r="K51" s="29">
        <f t="shared" si="4"/>
        <v>16.813764549313632</v>
      </c>
    </row>
    <row r="52" spans="1:11" ht="16.5" thickBot="1" x14ac:dyDescent="0.3">
      <c r="A52" s="6" t="s">
        <v>28</v>
      </c>
      <c r="B52" s="2">
        <v>2017</v>
      </c>
      <c r="C52" s="43">
        <v>59.93</v>
      </c>
      <c r="D52" s="19">
        <v>19866</v>
      </c>
      <c r="E52" s="19">
        <v>2372.5</v>
      </c>
      <c r="F52" s="19">
        <v>24349750</v>
      </c>
      <c r="H52" s="29">
        <f t="shared" si="1"/>
        <v>4.093177214470094</v>
      </c>
      <c r="I52" s="29">
        <f t="shared" si="2"/>
        <v>9.8967650067753006</v>
      </c>
      <c r="J52" s="29">
        <f t="shared" si="3"/>
        <v>7.7716995304840832</v>
      </c>
      <c r="K52" s="29">
        <f t="shared" si="4"/>
        <v>17.008032140499715</v>
      </c>
    </row>
    <row r="53" spans="1:11" ht="16.5" thickBot="1" x14ac:dyDescent="0.3">
      <c r="A53" s="6" t="s">
        <v>28</v>
      </c>
      <c r="B53" s="2">
        <v>2018</v>
      </c>
      <c r="C53" s="43">
        <v>60.3</v>
      </c>
      <c r="D53" s="19">
        <v>27474.9</v>
      </c>
      <c r="E53" s="19">
        <v>2372.6999999999998</v>
      </c>
      <c r="F53" s="19">
        <v>26231235</v>
      </c>
      <c r="H53" s="29">
        <f t="shared" si="1"/>
        <v>4.0993321037331398</v>
      </c>
      <c r="I53" s="29">
        <f t="shared" si="2"/>
        <v>10.22102813959277</v>
      </c>
      <c r="J53" s="29">
        <f t="shared" si="3"/>
        <v>7.7717838261934808</v>
      </c>
      <c r="K53" s="29">
        <f t="shared" si="4"/>
        <v>17.082461434226847</v>
      </c>
    </row>
    <row r="54" spans="1:11" ht="16.5" thickBot="1" x14ac:dyDescent="0.3">
      <c r="A54" s="6" t="s">
        <v>28</v>
      </c>
      <c r="B54" s="2">
        <v>2019</v>
      </c>
      <c r="C54" s="43">
        <v>62.27</v>
      </c>
      <c r="D54" s="19">
        <v>18654.7</v>
      </c>
      <c r="E54" s="19">
        <v>2723.2</v>
      </c>
      <c r="F54" s="19">
        <v>26652341</v>
      </c>
      <c r="H54" s="29">
        <f t="shared" si="1"/>
        <v>4.1314797688843603</v>
      </c>
      <c r="I54" s="29">
        <f t="shared" si="2"/>
        <v>9.8338534040464545</v>
      </c>
      <c r="J54" s="29">
        <f t="shared" si="3"/>
        <v>7.9095629383790547</v>
      </c>
      <c r="K54" s="29">
        <f t="shared" si="4"/>
        <v>17.09838754711971</v>
      </c>
    </row>
    <row r="55" spans="1:11" ht="16.5" thickBot="1" x14ac:dyDescent="0.3">
      <c r="A55" s="6" t="s">
        <v>28</v>
      </c>
      <c r="B55" s="2">
        <v>2020</v>
      </c>
      <c r="C55" s="43">
        <v>60.93</v>
      </c>
      <c r="D55" s="19">
        <v>30606.1</v>
      </c>
      <c r="E55" s="19">
        <v>4793.7</v>
      </c>
      <c r="F55" s="19">
        <v>26513084</v>
      </c>
      <c r="H55" s="29">
        <f t="shared" si="1"/>
        <v>4.1097256642604032</v>
      </c>
      <c r="I55" s="29">
        <f t="shared" si="2"/>
        <v>10.328954614478846</v>
      </c>
      <c r="J55" s="29">
        <f t="shared" si="3"/>
        <v>8.4750578348134518</v>
      </c>
      <c r="K55" s="29">
        <f t="shared" si="4"/>
        <v>17.093148904958067</v>
      </c>
    </row>
    <row r="56" spans="1:11" ht="16.5" thickBot="1" x14ac:dyDescent="0.3">
      <c r="A56" s="6" t="s">
        <v>29</v>
      </c>
      <c r="B56" s="2">
        <v>2015</v>
      </c>
      <c r="C56" s="43">
        <v>42.28</v>
      </c>
      <c r="D56" s="19">
        <v>35489.800000000003</v>
      </c>
      <c r="E56" s="19">
        <v>2593.4</v>
      </c>
      <c r="F56" s="19">
        <v>24678649</v>
      </c>
      <c r="H56" s="29">
        <f t="shared" si="1"/>
        <v>3.7443141610020367</v>
      </c>
      <c r="I56" s="29">
        <f t="shared" si="2"/>
        <v>10.477000610234413</v>
      </c>
      <c r="J56" s="29">
        <f t="shared" si="3"/>
        <v>7.8607250351147835</v>
      </c>
      <c r="K56" s="29">
        <f t="shared" si="4"/>
        <v>17.021449014822423</v>
      </c>
    </row>
    <row r="57" spans="1:11" ht="16.5" thickBot="1" x14ac:dyDescent="0.3">
      <c r="A57" s="6" t="s">
        <v>29</v>
      </c>
      <c r="B57" s="2">
        <v>2016</v>
      </c>
      <c r="C57" s="43">
        <v>54.09</v>
      </c>
      <c r="D57" s="19">
        <v>46331.6</v>
      </c>
      <c r="E57" s="19">
        <v>1941</v>
      </c>
      <c r="F57" s="19">
        <v>26527236</v>
      </c>
      <c r="H57" s="29">
        <f t="shared" si="1"/>
        <v>3.9906493258833358</v>
      </c>
      <c r="I57" s="29">
        <f t="shared" si="2"/>
        <v>10.743579512673003</v>
      </c>
      <c r="J57" s="29">
        <f t="shared" si="3"/>
        <v>7.57095858316901</v>
      </c>
      <c r="K57" s="29">
        <f t="shared" si="4"/>
        <v>17.093682536743692</v>
      </c>
    </row>
    <row r="58" spans="1:11" ht="16.5" thickBot="1" x14ac:dyDescent="0.3">
      <c r="A58" s="6" t="s">
        <v>29</v>
      </c>
      <c r="B58" s="2">
        <v>2017</v>
      </c>
      <c r="C58" s="43">
        <v>48.89</v>
      </c>
      <c r="D58" s="19">
        <v>45044.5</v>
      </c>
      <c r="E58" s="19">
        <v>1566.7</v>
      </c>
      <c r="F58" s="19">
        <v>31851420</v>
      </c>
      <c r="H58" s="29">
        <f t="shared" si="1"/>
        <v>3.8895728765905542</v>
      </c>
      <c r="I58" s="29">
        <f t="shared" si="2"/>
        <v>10.715406169012835</v>
      </c>
      <c r="J58" s="29">
        <f t="shared" si="3"/>
        <v>7.3567267753994416</v>
      </c>
      <c r="K58" s="29">
        <f t="shared" si="4"/>
        <v>17.276592522976053</v>
      </c>
    </row>
    <row r="59" spans="1:11" ht="16.5" thickBot="1" x14ac:dyDescent="0.3">
      <c r="A59" s="6" t="s">
        <v>29</v>
      </c>
      <c r="B59" s="2">
        <v>2018</v>
      </c>
      <c r="C59" s="43">
        <v>52.26</v>
      </c>
      <c r="D59" s="19">
        <v>33333.1</v>
      </c>
      <c r="E59" s="19">
        <v>1333.4</v>
      </c>
      <c r="F59" s="19">
        <v>35289761</v>
      </c>
      <c r="H59" s="29">
        <f t="shared" si="1"/>
        <v>3.9562312600924665</v>
      </c>
      <c r="I59" s="29">
        <f t="shared" si="2"/>
        <v>10.414306176277618</v>
      </c>
      <c r="J59" s="29">
        <f t="shared" si="3"/>
        <v>7.19548735018396</v>
      </c>
      <c r="K59" s="29">
        <f t="shared" si="4"/>
        <v>17.379103423171735</v>
      </c>
    </row>
    <row r="60" spans="1:11" ht="16.5" thickBot="1" x14ac:dyDescent="0.3">
      <c r="A60" s="6" t="s">
        <v>29</v>
      </c>
      <c r="B60" s="2">
        <v>2019</v>
      </c>
      <c r="C60" s="43">
        <v>54.56</v>
      </c>
      <c r="D60" s="19">
        <v>45452.7</v>
      </c>
      <c r="E60" s="19">
        <v>866.3</v>
      </c>
      <c r="F60" s="19">
        <v>33843734</v>
      </c>
      <c r="H60" s="29">
        <f t="shared" si="1"/>
        <v>3.9993010135352067</v>
      </c>
      <c r="I60" s="29">
        <f t="shared" si="2"/>
        <v>10.724427503781756</v>
      </c>
      <c r="J60" s="29">
        <f t="shared" si="3"/>
        <v>6.7642312688960944</v>
      </c>
      <c r="K60" s="29">
        <f t="shared" si="4"/>
        <v>17.337264429404577</v>
      </c>
    </row>
    <row r="61" spans="1:11" ht="16.5" thickBot="1" x14ac:dyDescent="0.3">
      <c r="A61" s="6" t="s">
        <v>29</v>
      </c>
      <c r="B61" s="2">
        <v>2020</v>
      </c>
      <c r="C61" s="43">
        <v>55.82</v>
      </c>
      <c r="D61" s="19">
        <v>55660.6</v>
      </c>
      <c r="E61" s="19">
        <v>1363.6</v>
      </c>
      <c r="F61" s="19">
        <v>36022542</v>
      </c>
      <c r="H61" s="29">
        <f t="shared" si="1"/>
        <v>4.0221322281081759</v>
      </c>
      <c r="I61" s="29">
        <f t="shared" si="2"/>
        <v>10.927027814755881</v>
      </c>
      <c r="J61" s="29">
        <f t="shared" si="3"/>
        <v>7.217883540263748</v>
      </c>
      <c r="K61" s="29">
        <f t="shared" si="4"/>
        <v>17.3996554671265</v>
      </c>
    </row>
    <row r="62" spans="1:11" ht="16.5" thickBot="1" x14ac:dyDescent="0.3">
      <c r="A62" s="6" t="s">
        <v>30</v>
      </c>
      <c r="B62" s="2">
        <v>2015</v>
      </c>
      <c r="C62" s="43">
        <v>56.04</v>
      </c>
      <c r="D62" s="19">
        <v>6143.5</v>
      </c>
      <c r="E62" s="19">
        <v>1335.7</v>
      </c>
      <c r="F62" s="19">
        <v>4207748</v>
      </c>
      <c r="H62" s="29">
        <f t="shared" si="1"/>
        <v>4.0260657214688065</v>
      </c>
      <c r="I62" s="29">
        <f t="shared" si="2"/>
        <v>8.7231498913076262</v>
      </c>
      <c r="J62" s="29">
        <f t="shared" si="3"/>
        <v>7.1972107779830594</v>
      </c>
      <c r="K62" s="29">
        <f t="shared" si="4"/>
        <v>15.252438145674891</v>
      </c>
    </row>
    <row r="63" spans="1:11" ht="16.5" thickBot="1" x14ac:dyDescent="0.3">
      <c r="A63" s="6" t="s">
        <v>30</v>
      </c>
      <c r="B63" s="2">
        <v>2016</v>
      </c>
      <c r="C63" s="43">
        <v>57.36</v>
      </c>
      <c r="D63" s="19">
        <v>9015.5</v>
      </c>
      <c r="E63" s="19">
        <v>630.70000000000005</v>
      </c>
      <c r="F63" s="19">
        <v>4503518</v>
      </c>
      <c r="H63" s="29">
        <f t="shared" si="1"/>
        <v>4.0493471962913645</v>
      </c>
      <c r="I63" s="29">
        <f t="shared" si="2"/>
        <v>9.1067005972164239</v>
      </c>
      <c r="J63" s="29">
        <f t="shared" si="3"/>
        <v>6.4468303136696052</v>
      </c>
      <c r="K63" s="29">
        <f t="shared" si="4"/>
        <v>15.320369427089254</v>
      </c>
    </row>
    <row r="64" spans="1:11" ht="16.5" thickBot="1" x14ac:dyDescent="0.3">
      <c r="A64" s="6" t="s">
        <v>30</v>
      </c>
      <c r="B64" s="2">
        <v>2017</v>
      </c>
      <c r="C64" s="43">
        <v>56.32</v>
      </c>
      <c r="D64" s="19">
        <v>12380.9</v>
      </c>
      <c r="E64" s="19">
        <v>568.4</v>
      </c>
      <c r="F64" s="19">
        <v>5562103</v>
      </c>
      <c r="H64" s="29">
        <f t="shared" si="1"/>
        <v>4.0310497118497866</v>
      </c>
      <c r="I64" s="29">
        <f t="shared" si="2"/>
        <v>9.4239102414960616</v>
      </c>
      <c r="J64" s="29">
        <f t="shared" si="3"/>
        <v>6.3428253962229455</v>
      </c>
      <c r="K64" s="29">
        <f t="shared" si="4"/>
        <v>15.5314868321231</v>
      </c>
    </row>
    <row r="65" spans="1:11" ht="16.5" thickBot="1" x14ac:dyDescent="0.3">
      <c r="A65" s="6" t="s">
        <v>30</v>
      </c>
      <c r="B65" s="2">
        <v>2018</v>
      </c>
      <c r="C65" s="43">
        <v>57.95</v>
      </c>
      <c r="D65" s="19">
        <v>6591.4</v>
      </c>
      <c r="E65" s="19">
        <v>491.9</v>
      </c>
      <c r="F65" s="19">
        <v>5872181</v>
      </c>
      <c r="H65" s="29">
        <f t="shared" si="1"/>
        <v>4.0595805697857612</v>
      </c>
      <c r="I65" s="29">
        <f t="shared" si="2"/>
        <v>8.793521048029314</v>
      </c>
      <c r="J65" s="29">
        <f t="shared" si="3"/>
        <v>6.1982754438012941</v>
      </c>
      <c r="K65" s="29">
        <f t="shared" si="4"/>
        <v>15.585736673052113</v>
      </c>
    </row>
    <row r="66" spans="1:11" ht="16.5" thickBot="1" x14ac:dyDescent="0.3">
      <c r="A66" s="6" t="s">
        <v>30</v>
      </c>
      <c r="B66" s="2">
        <v>2019</v>
      </c>
      <c r="C66" s="43">
        <v>60.12</v>
      </c>
      <c r="D66" s="19">
        <v>7699.1</v>
      </c>
      <c r="E66" s="19">
        <v>532.29999999999995</v>
      </c>
      <c r="F66" s="19">
        <v>5910666</v>
      </c>
      <c r="H66" s="29">
        <f t="shared" si="1"/>
        <v>4.0963425648847736</v>
      </c>
      <c r="I66" s="29">
        <f t="shared" si="2"/>
        <v>8.948858717893529</v>
      </c>
      <c r="J66" s="29">
        <f t="shared" si="3"/>
        <v>6.2772072401787113</v>
      </c>
      <c r="K66" s="29">
        <f t="shared" si="4"/>
        <v>15.592269073388529</v>
      </c>
    </row>
    <row r="67" spans="1:11" ht="16.5" thickBot="1" x14ac:dyDescent="0.3">
      <c r="A67" s="6" t="s">
        <v>30</v>
      </c>
      <c r="B67" s="2">
        <v>2020</v>
      </c>
      <c r="C67" s="43">
        <v>60.29</v>
      </c>
      <c r="D67" s="19">
        <v>9256.5</v>
      </c>
      <c r="E67" s="19">
        <v>1575.5</v>
      </c>
      <c r="F67" s="19">
        <v>6242375</v>
      </c>
      <c r="H67" s="29">
        <f t="shared" ref="H67:H130" si="5">LN(C67)</f>
        <v>4.0991662525013144</v>
      </c>
      <c r="I67" s="29">
        <f t="shared" si="2"/>
        <v>9.1330812864292312</v>
      </c>
      <c r="J67" s="29">
        <f t="shared" si="3"/>
        <v>7.3623279611973294</v>
      </c>
      <c r="K67" s="29">
        <f t="shared" si="4"/>
        <v>15.646871276906747</v>
      </c>
    </row>
    <row r="68" spans="1:11" ht="16.5" thickBot="1" x14ac:dyDescent="0.3">
      <c r="A68" s="6" t="s">
        <v>31</v>
      </c>
      <c r="B68" s="2">
        <v>2015</v>
      </c>
      <c r="C68" s="43">
        <v>55.34</v>
      </c>
      <c r="D68" s="19">
        <v>2060.4</v>
      </c>
      <c r="E68" s="19">
        <v>961.2</v>
      </c>
      <c r="F68" s="19">
        <v>5500274</v>
      </c>
      <c r="H68" s="29">
        <f t="shared" si="5"/>
        <v>4.0134959743587801</v>
      </c>
      <c r="I68" s="29">
        <f t="shared" si="2"/>
        <v>7.6306554176914299</v>
      </c>
      <c r="J68" s="29">
        <f t="shared" si="3"/>
        <v>6.8681825038623137</v>
      </c>
      <c r="K68" s="29">
        <f t="shared" si="4"/>
        <v>15.520308467143634</v>
      </c>
    </row>
    <row r="69" spans="1:11" ht="16.5" thickBot="1" x14ac:dyDescent="0.3">
      <c r="A69" s="6" t="s">
        <v>31</v>
      </c>
      <c r="B69" s="2">
        <v>2016</v>
      </c>
      <c r="C69" s="43">
        <v>58.41</v>
      </c>
      <c r="D69" s="19">
        <v>6163</v>
      </c>
      <c r="E69" s="19">
        <v>249.4</v>
      </c>
      <c r="F69" s="19">
        <v>5600689</v>
      </c>
      <c r="H69" s="29">
        <f t="shared" si="5"/>
        <v>4.0674871080522177</v>
      </c>
      <c r="I69" s="29">
        <f t="shared" si="2"/>
        <v>8.7263189509622432</v>
      </c>
      <c r="J69" s="29">
        <f t="shared" si="3"/>
        <v>5.519058033245936</v>
      </c>
      <c r="K69" s="29">
        <f t="shared" si="4"/>
        <v>15.53840018385139</v>
      </c>
    </row>
    <row r="70" spans="1:11" ht="16.5" thickBot="1" x14ac:dyDescent="0.3">
      <c r="A70" s="6" t="s">
        <v>31</v>
      </c>
      <c r="B70" s="2">
        <v>2017</v>
      </c>
      <c r="C70" s="43">
        <v>57.36</v>
      </c>
      <c r="D70" s="19">
        <v>2981.9</v>
      </c>
      <c r="E70" s="19">
        <v>243.8</v>
      </c>
      <c r="F70" s="19">
        <v>6002245</v>
      </c>
      <c r="H70" s="29">
        <f t="shared" si="5"/>
        <v>4.0493471962913645</v>
      </c>
      <c r="I70" s="29">
        <f t="shared" si="2"/>
        <v>8.0003159602218119</v>
      </c>
      <c r="J70" s="29">
        <f t="shared" si="3"/>
        <v>5.4963482170471716</v>
      </c>
      <c r="K70" s="29">
        <f t="shared" si="4"/>
        <v>15.607644123876105</v>
      </c>
    </row>
    <row r="71" spans="1:11" ht="16.5" thickBot="1" x14ac:dyDescent="0.3">
      <c r="A71" s="6" t="s">
        <v>31</v>
      </c>
      <c r="B71" s="2">
        <v>2018</v>
      </c>
      <c r="C71" s="43">
        <v>58.45</v>
      </c>
      <c r="D71" s="19">
        <v>9975.2000000000007</v>
      </c>
      <c r="E71" s="19">
        <v>129.19999999999999</v>
      </c>
      <c r="F71" s="19">
        <v>6722887</v>
      </c>
      <c r="H71" s="29">
        <f t="shared" si="5"/>
        <v>4.0681716879180776</v>
      </c>
      <c r="I71" s="29">
        <f t="shared" si="2"/>
        <v>9.2078572916823767</v>
      </c>
      <c r="J71" s="29">
        <f t="shared" si="3"/>
        <v>4.8613615913485013</v>
      </c>
      <c r="K71" s="29">
        <f t="shared" si="4"/>
        <v>15.721028233337288</v>
      </c>
    </row>
    <row r="72" spans="1:11" ht="16.5" thickBot="1" x14ac:dyDescent="0.3">
      <c r="A72" s="6" t="s">
        <v>31</v>
      </c>
      <c r="B72" s="2">
        <v>2019</v>
      </c>
      <c r="C72" s="43">
        <v>58.48</v>
      </c>
      <c r="D72" s="19">
        <v>10061</v>
      </c>
      <c r="E72" s="19">
        <v>372.9</v>
      </c>
      <c r="F72" s="19">
        <v>7031946</v>
      </c>
      <c r="H72" s="29">
        <f t="shared" si="5"/>
        <v>4.0686848154415234</v>
      </c>
      <c r="I72" s="29">
        <f t="shared" si="2"/>
        <v>9.2164218422920499</v>
      </c>
      <c r="J72" s="29">
        <f t="shared" si="3"/>
        <v>5.9213102871847747</v>
      </c>
      <c r="K72" s="29">
        <f t="shared" si="4"/>
        <v>15.765974039136777</v>
      </c>
    </row>
    <row r="73" spans="1:11" ht="16.5" thickBot="1" x14ac:dyDescent="0.3">
      <c r="A73" s="6" t="s">
        <v>31</v>
      </c>
      <c r="B73" s="2">
        <v>2020</v>
      </c>
      <c r="C73" s="43">
        <v>56.91</v>
      </c>
      <c r="D73" s="19">
        <v>4286.3</v>
      </c>
      <c r="E73" s="19">
        <v>759.3</v>
      </c>
      <c r="F73" s="19">
        <v>6879065</v>
      </c>
      <c r="H73" s="29">
        <f t="shared" si="5"/>
        <v>4.0414710726150327</v>
      </c>
      <c r="I73" s="29">
        <f t="shared" si="2"/>
        <v>8.3631791689176076</v>
      </c>
      <c r="J73" s="29">
        <f t="shared" si="3"/>
        <v>6.6323969562191882</v>
      </c>
      <c r="K73" s="29">
        <f t="shared" si="4"/>
        <v>15.743993299511336</v>
      </c>
    </row>
    <row r="74" spans="1:11" ht="16.5" thickBot="1" x14ac:dyDescent="0.3">
      <c r="A74" s="6" t="s">
        <v>32</v>
      </c>
      <c r="B74" s="2">
        <v>2015</v>
      </c>
      <c r="C74" s="43">
        <v>58.88</v>
      </c>
      <c r="D74" s="19">
        <v>1270.0999999999999</v>
      </c>
      <c r="E74" s="19">
        <v>933.6</v>
      </c>
      <c r="F74" s="19">
        <v>3546929</v>
      </c>
      <c r="H74" s="29">
        <f t="shared" si="5"/>
        <v>4.0755014744206211</v>
      </c>
      <c r="I74" s="29">
        <f t="shared" si="2"/>
        <v>7.1468509165102736</v>
      </c>
      <c r="J74" s="29">
        <f t="shared" si="3"/>
        <v>6.8390480809723462</v>
      </c>
      <c r="K74" s="29">
        <f t="shared" si="4"/>
        <v>15.081592716639713</v>
      </c>
    </row>
    <row r="75" spans="1:11" ht="16.5" thickBot="1" x14ac:dyDescent="0.3">
      <c r="A75" s="6" t="s">
        <v>32</v>
      </c>
      <c r="B75" s="2">
        <v>2016</v>
      </c>
      <c r="C75" s="43">
        <v>60.97</v>
      </c>
      <c r="D75" s="19">
        <v>8179.1</v>
      </c>
      <c r="E75" s="19">
        <v>408.2</v>
      </c>
      <c r="F75" s="19">
        <v>3587855</v>
      </c>
      <c r="H75" s="29">
        <f t="shared" si="5"/>
        <v>4.1103819399197246</v>
      </c>
      <c r="I75" s="29">
        <f t="shared" si="2"/>
        <v>9.0093373990937806</v>
      </c>
      <c r="J75" s="29">
        <f t="shared" si="3"/>
        <v>6.0117572503757444</v>
      </c>
      <c r="K75" s="29">
        <f t="shared" si="4"/>
        <v>15.093065088858152</v>
      </c>
    </row>
    <row r="76" spans="1:11" ht="16.5" thickBot="1" x14ac:dyDescent="0.3">
      <c r="A76" s="6" t="s">
        <v>32</v>
      </c>
      <c r="B76" s="2">
        <v>2017</v>
      </c>
      <c r="C76" s="43">
        <v>58.74</v>
      </c>
      <c r="D76" s="19">
        <v>3037.8</v>
      </c>
      <c r="E76" s="19">
        <v>641</v>
      </c>
      <c r="F76" s="19">
        <v>4412596</v>
      </c>
      <c r="H76" s="29">
        <f t="shared" si="5"/>
        <v>4.0731209257704739</v>
      </c>
      <c r="I76" s="29">
        <f t="shared" si="2"/>
        <v>8.0188888482039182</v>
      </c>
      <c r="J76" s="29">
        <f t="shared" si="3"/>
        <v>6.4630294569206699</v>
      </c>
      <c r="K76" s="29">
        <f t="shared" si="4"/>
        <v>15.299973736360961</v>
      </c>
    </row>
    <row r="77" spans="1:11" ht="16.5" thickBot="1" x14ac:dyDescent="0.3">
      <c r="A77" s="6" t="s">
        <v>32</v>
      </c>
      <c r="B77" s="2">
        <v>2018</v>
      </c>
      <c r="C77" s="43">
        <v>58.58</v>
      </c>
      <c r="D77" s="19">
        <v>13091.6</v>
      </c>
      <c r="E77" s="19">
        <v>678.5</v>
      </c>
      <c r="F77" s="19">
        <v>5250300</v>
      </c>
      <c r="H77" s="29">
        <f t="shared" si="5"/>
        <v>4.070393341399587</v>
      </c>
      <c r="I77" s="29">
        <f t="shared" si="2"/>
        <v>9.4797260821448468</v>
      </c>
      <c r="J77" s="29">
        <f t="shared" si="3"/>
        <v>6.519884479274924</v>
      </c>
      <c r="K77" s="29">
        <f t="shared" si="4"/>
        <v>15.473795775792359</v>
      </c>
    </row>
    <row r="78" spans="1:11" ht="16.5" thickBot="1" x14ac:dyDescent="0.3">
      <c r="A78" s="6" t="s">
        <v>32</v>
      </c>
      <c r="B78" s="2">
        <v>2019</v>
      </c>
      <c r="C78" s="43">
        <v>60.67</v>
      </c>
      <c r="D78" s="19">
        <v>8591.9</v>
      </c>
      <c r="E78" s="19">
        <v>283.5</v>
      </c>
      <c r="F78" s="19">
        <v>5456290</v>
      </c>
      <c r="H78" s="29">
        <f t="shared" si="5"/>
        <v>4.1054493419542064</v>
      </c>
      <c r="I78" s="29">
        <f t="shared" si="2"/>
        <v>9.0585751779472101</v>
      </c>
      <c r="J78" s="29">
        <f t="shared" si="3"/>
        <v>5.6472121231678072</v>
      </c>
      <c r="K78" s="29">
        <f t="shared" si="4"/>
        <v>15.51227962958556</v>
      </c>
    </row>
    <row r="79" spans="1:11" ht="16.5" thickBot="1" x14ac:dyDescent="0.3">
      <c r="A79" s="6" t="s">
        <v>32</v>
      </c>
      <c r="B79" s="2">
        <v>2020</v>
      </c>
      <c r="C79" s="43">
        <v>60.3</v>
      </c>
      <c r="D79" s="19">
        <v>3710</v>
      </c>
      <c r="E79" s="19">
        <v>240.8</v>
      </c>
      <c r="F79" s="19">
        <v>5377960</v>
      </c>
      <c r="H79" s="29">
        <f t="shared" si="5"/>
        <v>4.0993321037331398</v>
      </c>
      <c r="I79" s="29">
        <f t="shared" si="2"/>
        <v>8.2187871556014809</v>
      </c>
      <c r="J79" s="29">
        <f t="shared" si="3"/>
        <v>5.4839667134346657</v>
      </c>
      <c r="K79" s="29">
        <f t="shared" si="4"/>
        <v>15.497819678074102</v>
      </c>
    </row>
    <row r="80" spans="1:11" ht="16.5" thickBot="1" x14ac:dyDescent="0.3">
      <c r="A80" s="6" t="s">
        <v>33</v>
      </c>
      <c r="B80" s="2">
        <v>2015</v>
      </c>
      <c r="C80" s="43">
        <v>67.67</v>
      </c>
      <c r="D80" s="19">
        <v>9611.2999999999993</v>
      </c>
      <c r="E80" s="19">
        <v>2381.4</v>
      </c>
      <c r="F80" s="19">
        <v>9376313</v>
      </c>
      <c r="H80" s="29">
        <f t="shared" si="5"/>
        <v>4.2146429502441345</v>
      </c>
      <c r="I80" s="29">
        <f t="shared" si="2"/>
        <v>9.1706947685698204</v>
      </c>
      <c r="J80" s="29">
        <f t="shared" si="3"/>
        <v>7.7754438290170746</v>
      </c>
      <c r="K80" s="29">
        <f t="shared" si="4"/>
        <v>16.05369717334753</v>
      </c>
    </row>
    <row r="81" spans="1:11" ht="16.5" thickBot="1" x14ac:dyDescent="0.3">
      <c r="A81" s="6" t="s">
        <v>33</v>
      </c>
      <c r="B81" s="2">
        <v>2016</v>
      </c>
      <c r="C81" s="43">
        <v>66.650000000000006</v>
      </c>
      <c r="D81" s="19">
        <v>6885.1</v>
      </c>
      <c r="E81" s="19">
        <v>1139.5999999999999</v>
      </c>
      <c r="F81" s="19">
        <v>8212409</v>
      </c>
      <c r="H81" s="29">
        <f t="shared" si="5"/>
        <v>4.1994550466247178</v>
      </c>
      <c r="I81" s="29">
        <f t="shared" si="2"/>
        <v>8.8371149353855287</v>
      </c>
      <c r="J81" s="29">
        <f t="shared" si="3"/>
        <v>7.0384326026237529</v>
      </c>
      <c r="K81" s="29">
        <f t="shared" si="4"/>
        <v>15.921156861043901</v>
      </c>
    </row>
    <row r="82" spans="1:11" ht="16.5" thickBot="1" x14ac:dyDescent="0.3">
      <c r="A82" s="6" t="s">
        <v>33</v>
      </c>
      <c r="B82" s="2">
        <v>2017</v>
      </c>
      <c r="C82" s="43">
        <v>65.28</v>
      </c>
      <c r="D82" s="19">
        <v>10980.2</v>
      </c>
      <c r="E82" s="19">
        <v>1285.2</v>
      </c>
      <c r="F82" s="19">
        <v>8765868</v>
      </c>
      <c r="H82" s="29">
        <f t="shared" si="5"/>
        <v>4.1786857106558513</v>
      </c>
      <c r="I82" s="29">
        <f t="shared" ref="I82:I145" si="6">LN(D82)</f>
        <v>9.3038489298338796</v>
      </c>
      <c r="J82" s="29">
        <f t="shared" ref="J82:J145" si="7">LN(E82)</f>
        <v>7.1586696272417036</v>
      </c>
      <c r="K82" s="29">
        <f t="shared" ref="K82:K145" si="8">LN(F82)</f>
        <v>15.986376101668187</v>
      </c>
    </row>
    <row r="83" spans="1:11" ht="16.5" thickBot="1" x14ac:dyDescent="0.3">
      <c r="A83" s="6" t="s">
        <v>33</v>
      </c>
      <c r="B83" s="2">
        <v>2018</v>
      </c>
      <c r="C83" s="43">
        <v>66.099999999999994</v>
      </c>
      <c r="D83" s="19">
        <v>25942</v>
      </c>
      <c r="E83" s="19">
        <v>587.5</v>
      </c>
      <c r="F83" s="19">
        <v>11210808</v>
      </c>
      <c r="H83" s="29">
        <f t="shared" si="5"/>
        <v>4.1911687468576408</v>
      </c>
      <c r="I83" s="29">
        <f t="shared" si="6"/>
        <v>10.163618555900618</v>
      </c>
      <c r="J83" s="29">
        <f t="shared" si="7"/>
        <v>6.375876246018314</v>
      </c>
      <c r="K83" s="29">
        <f t="shared" si="8"/>
        <v>16.23238887095215</v>
      </c>
    </row>
    <row r="84" spans="1:11" ht="16.5" thickBot="1" x14ac:dyDescent="0.3">
      <c r="A84" s="6" t="s">
        <v>33</v>
      </c>
      <c r="B84" s="2">
        <v>2019</v>
      </c>
      <c r="C84" s="43">
        <v>69.61</v>
      </c>
      <c r="D84" s="19">
        <v>21952</v>
      </c>
      <c r="E84" s="19">
        <v>861</v>
      </c>
      <c r="F84" s="19">
        <v>10769670</v>
      </c>
      <c r="H84" s="29">
        <f t="shared" si="5"/>
        <v>4.2429082351805754</v>
      </c>
      <c r="I84" s="29">
        <f t="shared" si="6"/>
        <v>9.996613530525611</v>
      </c>
      <c r="J84" s="29">
        <f t="shared" si="7"/>
        <v>6.7580945044277305</v>
      </c>
      <c r="K84" s="29">
        <f t="shared" si="8"/>
        <v>16.192244407994611</v>
      </c>
    </row>
    <row r="85" spans="1:11" ht="16.5" thickBot="1" x14ac:dyDescent="0.3">
      <c r="A85" s="6" t="s">
        <v>33</v>
      </c>
      <c r="B85" s="2">
        <v>2020</v>
      </c>
      <c r="C85" s="43">
        <v>70.97</v>
      </c>
      <c r="D85" s="19">
        <v>25934</v>
      </c>
      <c r="E85" s="19">
        <v>177.6</v>
      </c>
      <c r="F85" s="19">
        <v>12382489</v>
      </c>
      <c r="H85" s="29">
        <f t="shared" si="5"/>
        <v>4.2622572525368918</v>
      </c>
      <c r="I85" s="29">
        <f t="shared" si="6"/>
        <v>10.163310128108829</v>
      </c>
      <c r="J85" s="29">
        <f t="shared" si="7"/>
        <v>5.1795338305580696</v>
      </c>
      <c r="K85" s="29">
        <f t="shared" si="8"/>
        <v>16.33179385509364</v>
      </c>
    </row>
    <row r="86" spans="1:11" ht="16.5" thickBot="1" x14ac:dyDescent="0.3">
      <c r="A86" s="6" t="s">
        <v>34</v>
      </c>
      <c r="B86" s="2">
        <v>2015</v>
      </c>
      <c r="C86" s="43">
        <v>67.78</v>
      </c>
      <c r="D86" s="19">
        <v>921.8</v>
      </c>
      <c r="E86" s="19">
        <v>230.9</v>
      </c>
      <c r="F86" s="19">
        <v>2628832</v>
      </c>
      <c r="H86" s="29">
        <f t="shared" si="5"/>
        <v>4.2162671661789055</v>
      </c>
      <c r="I86" s="29">
        <f t="shared" si="6"/>
        <v>6.8263282802864076</v>
      </c>
      <c r="J86" s="29">
        <f t="shared" si="7"/>
        <v>5.4419847163604498</v>
      </c>
      <c r="K86" s="29">
        <f t="shared" si="8"/>
        <v>14.782050199045587</v>
      </c>
    </row>
    <row r="87" spans="1:11" ht="16.5" thickBot="1" x14ac:dyDescent="0.3">
      <c r="A87" s="6" t="s">
        <v>34</v>
      </c>
      <c r="B87" s="2">
        <v>2016</v>
      </c>
      <c r="C87" s="43">
        <v>68.22</v>
      </c>
      <c r="D87" s="19">
        <v>3345.7</v>
      </c>
      <c r="E87" s="19">
        <v>160.80000000000001</v>
      </c>
      <c r="F87" s="19">
        <v>3068221</v>
      </c>
      <c r="H87" s="29">
        <f t="shared" si="5"/>
        <v>4.2227377769904999</v>
      </c>
      <c r="I87" s="29">
        <f t="shared" si="6"/>
        <v>8.1154312182324535</v>
      </c>
      <c r="J87" s="29">
        <f t="shared" si="7"/>
        <v>5.080161356744866</v>
      </c>
      <c r="K87" s="29">
        <f t="shared" si="8"/>
        <v>14.936608472773273</v>
      </c>
    </row>
    <row r="88" spans="1:11" ht="16.5" thickBot="1" x14ac:dyDescent="0.3">
      <c r="A88" s="6" t="s">
        <v>34</v>
      </c>
      <c r="B88" s="2">
        <v>2017</v>
      </c>
      <c r="C88" s="43">
        <v>64.48</v>
      </c>
      <c r="D88" s="19">
        <v>853.3</v>
      </c>
      <c r="E88" s="19">
        <v>149</v>
      </c>
      <c r="F88" s="19">
        <v>2585440</v>
      </c>
      <c r="H88" s="29">
        <f t="shared" si="5"/>
        <v>4.1663550981983732</v>
      </c>
      <c r="I88" s="29">
        <f t="shared" si="6"/>
        <v>6.7491111855425387</v>
      </c>
      <c r="J88" s="29">
        <f t="shared" si="7"/>
        <v>5.0039463059454592</v>
      </c>
      <c r="K88" s="29">
        <f t="shared" si="8"/>
        <v>14.765406264206074</v>
      </c>
    </row>
    <row r="89" spans="1:11" ht="16.5" thickBot="1" x14ac:dyDescent="0.3">
      <c r="A89" s="6" t="s">
        <v>34</v>
      </c>
      <c r="B89" s="2">
        <v>2018</v>
      </c>
      <c r="C89" s="43">
        <v>66.52</v>
      </c>
      <c r="D89" s="19">
        <v>1356.8</v>
      </c>
      <c r="E89" s="19">
        <v>67.3</v>
      </c>
      <c r="F89" s="19">
        <v>2560730</v>
      </c>
      <c r="H89" s="29">
        <f t="shared" si="5"/>
        <v>4.1975026543247269</v>
      </c>
      <c r="I89" s="29">
        <f t="shared" si="6"/>
        <v>7.2128842650376388</v>
      </c>
      <c r="J89" s="29">
        <f t="shared" si="7"/>
        <v>4.209160236650682</v>
      </c>
      <c r="K89" s="29">
        <f t="shared" si="8"/>
        <v>14.755802932056429</v>
      </c>
    </row>
    <row r="90" spans="1:11" ht="16.5" thickBot="1" x14ac:dyDescent="0.3">
      <c r="A90" s="6" t="s">
        <v>34</v>
      </c>
      <c r="B90" s="2">
        <v>2019</v>
      </c>
      <c r="C90" s="43">
        <v>73.73</v>
      </c>
      <c r="D90" s="19">
        <v>4400.8999999999996</v>
      </c>
      <c r="E90" s="19">
        <v>81.7</v>
      </c>
      <c r="F90" s="19">
        <v>3005922</v>
      </c>
      <c r="H90" s="29">
        <f t="shared" si="5"/>
        <v>4.3004097720015588</v>
      </c>
      <c r="I90" s="29">
        <f t="shared" si="6"/>
        <v>8.3895643444443291</v>
      </c>
      <c r="J90" s="29">
        <f t="shared" si="7"/>
        <v>4.4030540018659572</v>
      </c>
      <c r="K90" s="29">
        <f t="shared" si="8"/>
        <v>14.916094900854606</v>
      </c>
    </row>
    <row r="91" spans="1:11" ht="16.5" thickBot="1" x14ac:dyDescent="0.3">
      <c r="A91" s="6" t="s">
        <v>34</v>
      </c>
      <c r="B91" s="2">
        <v>2020</v>
      </c>
      <c r="C91" s="43">
        <v>70.56</v>
      </c>
      <c r="D91" s="19">
        <v>2235.1999999999998</v>
      </c>
      <c r="E91" s="19">
        <v>378</v>
      </c>
      <c r="F91" s="19">
        <v>2778925</v>
      </c>
      <c r="H91" s="29">
        <f t="shared" si="5"/>
        <v>4.2564634116985358</v>
      </c>
      <c r="I91" s="29">
        <f t="shared" si="6"/>
        <v>7.7120859885026976</v>
      </c>
      <c r="J91" s="29">
        <f t="shared" si="7"/>
        <v>5.934894195619588</v>
      </c>
      <c r="K91" s="29">
        <f t="shared" si="8"/>
        <v>14.83757472023523</v>
      </c>
    </row>
    <row r="92" spans="1:11" ht="16.5" thickBot="1" x14ac:dyDescent="0.3">
      <c r="A92" s="6" t="s">
        <v>35</v>
      </c>
      <c r="B92" s="2">
        <v>2015</v>
      </c>
      <c r="C92" s="43">
        <v>61.33</v>
      </c>
      <c r="D92" s="19">
        <v>1023.7</v>
      </c>
      <c r="E92" s="19">
        <v>82.7</v>
      </c>
      <c r="F92" s="19">
        <v>2212653</v>
      </c>
      <c r="H92" s="29">
        <f t="shared" si="5"/>
        <v>4.1162691196378924</v>
      </c>
      <c r="I92" s="29">
        <f t="shared" si="6"/>
        <v>6.9311787939257252</v>
      </c>
      <c r="J92" s="29">
        <f t="shared" si="7"/>
        <v>4.4152196020296453</v>
      </c>
      <c r="K92" s="29">
        <f t="shared" si="8"/>
        <v>14.609702806015667</v>
      </c>
    </row>
    <row r="93" spans="1:11" ht="16.5" thickBot="1" x14ac:dyDescent="0.3">
      <c r="A93" s="6" t="s">
        <v>35</v>
      </c>
      <c r="B93" s="2">
        <v>2016</v>
      </c>
      <c r="C93" s="43">
        <v>62.42</v>
      </c>
      <c r="D93" s="19">
        <v>2202</v>
      </c>
      <c r="E93" s="19">
        <v>52.7</v>
      </c>
      <c r="F93" s="19">
        <v>2287560</v>
      </c>
      <c r="H93" s="29">
        <f t="shared" si="5"/>
        <v>4.1338857368426334</v>
      </c>
      <c r="I93" s="29">
        <f t="shared" si="6"/>
        <v>7.6971213172826252</v>
      </c>
      <c r="J93" s="29">
        <f t="shared" si="7"/>
        <v>3.9646154555473165</v>
      </c>
      <c r="K93" s="29">
        <f t="shared" si="8"/>
        <v>14.642996305296023</v>
      </c>
    </row>
    <row r="94" spans="1:11" ht="16.5" thickBot="1" x14ac:dyDescent="0.3">
      <c r="A94" s="6" t="s">
        <v>35</v>
      </c>
      <c r="B94" s="2">
        <v>2017</v>
      </c>
      <c r="C94" s="43">
        <v>63.31</v>
      </c>
      <c r="D94" s="19">
        <v>1734.7</v>
      </c>
      <c r="E94" s="19">
        <v>153.1</v>
      </c>
      <c r="F94" s="19">
        <v>2468717</v>
      </c>
      <c r="H94" s="29">
        <f t="shared" si="5"/>
        <v>4.148043294556035</v>
      </c>
      <c r="I94" s="29">
        <f t="shared" si="6"/>
        <v>7.4585897667673633</v>
      </c>
      <c r="J94" s="29">
        <f t="shared" si="7"/>
        <v>5.0310913026636381</v>
      </c>
      <c r="K94" s="29">
        <f t="shared" si="8"/>
        <v>14.719209140453621</v>
      </c>
    </row>
    <row r="95" spans="1:11" ht="16.5" thickBot="1" x14ac:dyDescent="0.3">
      <c r="A95" s="6" t="s">
        <v>35</v>
      </c>
      <c r="B95" s="2">
        <v>2018</v>
      </c>
      <c r="C95" s="43">
        <v>61.96</v>
      </c>
      <c r="D95" s="19">
        <v>3112.9</v>
      </c>
      <c r="E95" s="19">
        <v>46.3</v>
      </c>
      <c r="F95" s="19">
        <v>2666617</v>
      </c>
      <c r="H95" s="29">
        <f t="shared" si="5"/>
        <v>4.1264890155486675</v>
      </c>
      <c r="I95" s="29">
        <f t="shared" si="6"/>
        <v>8.043310046571964</v>
      </c>
      <c r="J95" s="29">
        <f t="shared" si="7"/>
        <v>3.8351419610921882</v>
      </c>
      <c r="K95" s="29">
        <f t="shared" si="8"/>
        <v>14.796321185802553</v>
      </c>
    </row>
    <row r="96" spans="1:11" ht="16.5" thickBot="1" x14ac:dyDescent="0.3">
      <c r="A96" s="6" t="s">
        <v>35</v>
      </c>
      <c r="B96" s="2">
        <v>2019</v>
      </c>
      <c r="C96" s="43">
        <v>63.5</v>
      </c>
      <c r="D96" s="19">
        <v>2915.2</v>
      </c>
      <c r="E96" s="19">
        <v>88.7</v>
      </c>
      <c r="F96" s="19">
        <v>2962022</v>
      </c>
      <c r="H96" s="29">
        <f t="shared" si="5"/>
        <v>4.1510399058986458</v>
      </c>
      <c r="I96" s="29">
        <f t="shared" si="6"/>
        <v>7.9776937070656393</v>
      </c>
      <c r="J96" s="29">
        <f t="shared" si="7"/>
        <v>4.4852598893155342</v>
      </c>
      <c r="K96" s="29">
        <f t="shared" si="8"/>
        <v>14.901382701196207</v>
      </c>
    </row>
    <row r="97" spans="1:11" ht="16.5" thickBot="1" x14ac:dyDescent="0.3">
      <c r="A97" s="6" t="s">
        <v>35</v>
      </c>
      <c r="B97" s="2">
        <v>2020</v>
      </c>
      <c r="C97" s="43">
        <v>63.02</v>
      </c>
      <c r="D97" s="19">
        <v>1863.8</v>
      </c>
      <c r="E97" s="19">
        <v>68.400000000000006</v>
      </c>
      <c r="F97" s="19">
        <v>2624707</v>
      </c>
      <c r="H97" s="29">
        <f t="shared" si="5"/>
        <v>4.1434521363291283</v>
      </c>
      <c r="I97" s="29">
        <f t="shared" si="6"/>
        <v>7.5303726933515547</v>
      </c>
      <c r="J97" s="29">
        <f t="shared" si="7"/>
        <v>4.2253728246285052</v>
      </c>
      <c r="K97" s="29">
        <f t="shared" si="8"/>
        <v>14.780479828730373</v>
      </c>
    </row>
    <row r="98" spans="1:11" ht="16.5" thickBot="1" x14ac:dyDescent="0.3">
      <c r="A98" s="6" t="s">
        <v>36</v>
      </c>
      <c r="B98" s="2">
        <v>2015</v>
      </c>
      <c r="C98" s="43">
        <v>65.540000000000006</v>
      </c>
      <c r="D98" s="19">
        <v>612.1</v>
      </c>
      <c r="E98" s="19">
        <v>640.4</v>
      </c>
      <c r="F98" s="19">
        <v>2649778</v>
      </c>
      <c r="H98" s="29">
        <f t="shared" si="5"/>
        <v>4.182660643270669</v>
      </c>
      <c r="I98" s="29">
        <f t="shared" si="6"/>
        <v>6.4168956678570241</v>
      </c>
      <c r="J98" s="29">
        <f t="shared" si="7"/>
        <v>6.4620929811225594</v>
      </c>
      <c r="K98" s="29">
        <f t="shared" si="8"/>
        <v>14.789986420868297</v>
      </c>
    </row>
    <row r="99" spans="1:11" ht="16.5" thickBot="1" x14ac:dyDescent="0.3">
      <c r="A99" s="6" t="s">
        <v>36</v>
      </c>
      <c r="B99" s="2">
        <v>2016</v>
      </c>
      <c r="C99" s="43">
        <v>67.06</v>
      </c>
      <c r="D99" s="19">
        <v>492.5</v>
      </c>
      <c r="E99" s="19">
        <v>519.1</v>
      </c>
      <c r="F99" s="19">
        <v>2852614</v>
      </c>
      <c r="H99" s="29">
        <f t="shared" si="5"/>
        <v>4.2055877410380829</v>
      </c>
      <c r="I99" s="29">
        <f t="shared" si="6"/>
        <v>6.1994944606121436</v>
      </c>
      <c r="J99" s="29">
        <f t="shared" si="7"/>
        <v>6.2520965428331836</v>
      </c>
      <c r="K99" s="29">
        <f t="shared" si="8"/>
        <v>14.863746324862824</v>
      </c>
    </row>
    <row r="100" spans="1:11" ht="16.5" thickBot="1" x14ac:dyDescent="0.3">
      <c r="A100" s="6" t="s">
        <v>36</v>
      </c>
      <c r="B100" s="2">
        <v>2017</v>
      </c>
      <c r="C100" s="43">
        <v>67.05</v>
      </c>
      <c r="D100" s="19">
        <v>1398</v>
      </c>
      <c r="E100" s="19">
        <v>1031.5</v>
      </c>
      <c r="F100" s="19">
        <v>3525102</v>
      </c>
      <c r="H100" s="29">
        <f t="shared" si="5"/>
        <v>4.2054386097276879</v>
      </c>
      <c r="I100" s="29">
        <f t="shared" si="6"/>
        <v>7.2427979227937556</v>
      </c>
      <c r="J100" s="29">
        <f t="shared" si="7"/>
        <v>6.9387693325113062</v>
      </c>
      <c r="K100" s="29">
        <f t="shared" si="8"/>
        <v>15.075419929980075</v>
      </c>
    </row>
    <row r="101" spans="1:11" ht="16.5" thickBot="1" x14ac:dyDescent="0.3">
      <c r="A101" s="6" t="s">
        <v>36</v>
      </c>
      <c r="B101" s="2">
        <v>2018</v>
      </c>
      <c r="C101" s="43">
        <v>68.59</v>
      </c>
      <c r="D101" s="19">
        <v>4386</v>
      </c>
      <c r="E101" s="19">
        <v>831.3</v>
      </c>
      <c r="F101" s="19">
        <v>3499838</v>
      </c>
      <c r="H101" s="29">
        <f t="shared" si="5"/>
        <v>4.2281467515112299</v>
      </c>
      <c r="I101" s="29">
        <f t="shared" si="6"/>
        <v>8.3861729289778335</v>
      </c>
      <c r="J101" s="29">
        <f t="shared" si="7"/>
        <v>6.7229907405370426</v>
      </c>
      <c r="K101" s="29">
        <f t="shared" si="8"/>
        <v>15.06822723967414</v>
      </c>
    </row>
    <row r="102" spans="1:11" ht="16.5" thickBot="1" x14ac:dyDescent="0.3">
      <c r="A102" s="6" t="s">
        <v>36</v>
      </c>
      <c r="B102" s="2">
        <v>2019</v>
      </c>
      <c r="C102" s="43">
        <v>68.77</v>
      </c>
      <c r="D102" s="19">
        <v>5656.4</v>
      </c>
      <c r="E102" s="19">
        <v>1363.4</v>
      </c>
      <c r="F102" s="19">
        <v>3659564</v>
      </c>
      <c r="H102" s="29">
        <f t="shared" si="5"/>
        <v>4.2307676033317447</v>
      </c>
      <c r="I102" s="29">
        <f t="shared" si="6"/>
        <v>8.6405429264336213</v>
      </c>
      <c r="J102" s="29">
        <f t="shared" si="7"/>
        <v>7.217736858928685</v>
      </c>
      <c r="K102" s="29">
        <f t="shared" si="8"/>
        <v>15.112854572598462</v>
      </c>
    </row>
    <row r="103" spans="1:11" ht="16.5" thickBot="1" x14ac:dyDescent="0.3">
      <c r="A103" s="6" t="s">
        <v>36</v>
      </c>
      <c r="B103" s="2">
        <v>2020</v>
      </c>
      <c r="C103" s="43">
        <v>68.98</v>
      </c>
      <c r="D103" s="19">
        <v>14249</v>
      </c>
      <c r="E103" s="19">
        <v>48.4</v>
      </c>
      <c r="F103" s="19">
        <v>3919807</v>
      </c>
      <c r="H103" s="29">
        <f t="shared" si="5"/>
        <v>4.2338166075086949</v>
      </c>
      <c r="I103" s="29">
        <f t="shared" si="6"/>
        <v>9.5644420077957886</v>
      </c>
      <c r="J103" s="29">
        <f t="shared" si="7"/>
        <v>3.8794998137225858</v>
      </c>
      <c r="K103" s="29">
        <f t="shared" si="8"/>
        <v>15.181552975860701</v>
      </c>
    </row>
    <row r="104" spans="1:11" ht="16.5" thickBot="1" x14ac:dyDescent="0.3">
      <c r="A104" s="6" t="s">
        <v>37</v>
      </c>
      <c r="B104" s="2">
        <v>2015</v>
      </c>
      <c r="C104" s="43">
        <v>56.13</v>
      </c>
      <c r="D104" s="19">
        <v>1102.3</v>
      </c>
      <c r="E104" s="19">
        <v>257.7</v>
      </c>
      <c r="F104" s="19">
        <v>4898783</v>
      </c>
      <c r="H104" s="29">
        <f t="shared" si="5"/>
        <v>4.0276704289541083</v>
      </c>
      <c r="I104" s="29">
        <f t="shared" si="6"/>
        <v>7.0051541849692693</v>
      </c>
      <c r="J104" s="29">
        <f t="shared" si="7"/>
        <v>5.551796117658319</v>
      </c>
      <c r="K104" s="29">
        <f t="shared" si="8"/>
        <v>15.404497364885639</v>
      </c>
    </row>
    <row r="105" spans="1:11" ht="16.5" thickBot="1" x14ac:dyDescent="0.3">
      <c r="A105" s="6" t="s">
        <v>37</v>
      </c>
      <c r="B105" s="2">
        <v>2016</v>
      </c>
      <c r="C105" s="43">
        <v>58.85</v>
      </c>
      <c r="D105" s="19">
        <v>6031.8</v>
      </c>
      <c r="E105" s="19">
        <v>85.7</v>
      </c>
      <c r="F105" s="19">
        <v>5691235</v>
      </c>
      <c r="H105" s="29">
        <f t="shared" si="5"/>
        <v>4.074991833706286</v>
      </c>
      <c r="I105" s="29">
        <f t="shared" si="6"/>
        <v>8.7048007526394287</v>
      </c>
      <c r="J105" s="29">
        <f t="shared" si="7"/>
        <v>4.4508528256037341</v>
      </c>
      <c r="K105" s="29">
        <f t="shared" si="8"/>
        <v>15.554437830002794</v>
      </c>
    </row>
    <row r="106" spans="1:11" ht="16.5" thickBot="1" x14ac:dyDescent="0.3">
      <c r="A106" s="6" t="s">
        <v>37</v>
      </c>
      <c r="B106" s="2">
        <v>2017</v>
      </c>
      <c r="C106" s="43">
        <v>58.74</v>
      </c>
      <c r="D106" s="19">
        <v>7014.8</v>
      </c>
      <c r="E106" s="19">
        <v>120.6</v>
      </c>
      <c r="F106" s="19">
        <v>7017855</v>
      </c>
      <c r="H106" s="29">
        <f t="shared" si="5"/>
        <v>4.0731209257704739</v>
      </c>
      <c r="I106" s="29">
        <f t="shared" si="6"/>
        <v>8.8557774817951369</v>
      </c>
      <c r="J106" s="29">
        <f t="shared" si="7"/>
        <v>4.7924792842930852</v>
      </c>
      <c r="K106" s="29">
        <f t="shared" si="8"/>
        <v>15.763968173754828</v>
      </c>
    </row>
    <row r="107" spans="1:11" ht="16.5" thickBot="1" x14ac:dyDescent="0.3">
      <c r="A107" s="6" t="s">
        <v>37</v>
      </c>
      <c r="B107" s="2">
        <v>2018</v>
      </c>
      <c r="C107" s="43">
        <v>59.24</v>
      </c>
      <c r="D107" s="19">
        <v>12314.7</v>
      </c>
      <c r="E107" s="19">
        <v>132.30000000000001</v>
      </c>
      <c r="F107" s="19">
        <v>7633026</v>
      </c>
      <c r="H107" s="29">
        <f t="shared" si="5"/>
        <v>4.081596989399598</v>
      </c>
      <c r="I107" s="29">
        <f t="shared" si="6"/>
        <v>9.4185489497219841</v>
      </c>
      <c r="J107" s="29">
        <f t="shared" si="7"/>
        <v>4.8850720711209101</v>
      </c>
      <c r="K107" s="29">
        <f t="shared" si="8"/>
        <v>15.847994917037088</v>
      </c>
    </row>
    <row r="108" spans="1:11" ht="16.5" thickBot="1" x14ac:dyDescent="0.3">
      <c r="A108" s="6" t="s">
        <v>37</v>
      </c>
      <c r="B108" s="2">
        <v>2019</v>
      </c>
      <c r="C108" s="43">
        <v>61.52</v>
      </c>
      <c r="D108" s="19">
        <v>2428.9</v>
      </c>
      <c r="E108" s="19">
        <v>155.19999999999999</v>
      </c>
      <c r="F108" s="19">
        <v>7807923</v>
      </c>
      <c r="H108" s="29">
        <f t="shared" si="5"/>
        <v>4.1193623251973888</v>
      </c>
      <c r="I108" s="29">
        <f t="shared" si="6"/>
        <v>7.7951937589492628</v>
      </c>
      <c r="J108" s="29">
        <f t="shared" si="7"/>
        <v>5.0447146077491185</v>
      </c>
      <c r="K108" s="29">
        <f t="shared" si="8"/>
        <v>15.870649545346112</v>
      </c>
    </row>
    <row r="109" spans="1:11" ht="16.5" thickBot="1" x14ac:dyDescent="0.3">
      <c r="A109" s="6" t="s">
        <v>37</v>
      </c>
      <c r="B109" s="2">
        <v>2020</v>
      </c>
      <c r="C109" s="43">
        <v>63</v>
      </c>
      <c r="D109" s="19">
        <v>7120.5</v>
      </c>
      <c r="E109" s="19">
        <v>1649.4</v>
      </c>
      <c r="F109" s="19">
        <v>7355451</v>
      </c>
      <c r="H109" s="29">
        <f t="shared" si="5"/>
        <v>4.1431347263915326</v>
      </c>
      <c r="I109" s="29">
        <f t="shared" si="6"/>
        <v>8.8707332266594818</v>
      </c>
      <c r="J109" s="29">
        <f t="shared" si="7"/>
        <v>7.4081668643992549</v>
      </c>
      <c r="K109" s="29">
        <f t="shared" si="8"/>
        <v>15.81095222896848</v>
      </c>
    </row>
    <row r="110" spans="1:11" ht="16.5" thickBot="1" x14ac:dyDescent="0.3">
      <c r="A110" s="6" t="s">
        <v>38</v>
      </c>
      <c r="B110" s="2">
        <v>2015</v>
      </c>
      <c r="C110" s="43">
        <v>55.38</v>
      </c>
      <c r="D110" s="19">
        <v>0</v>
      </c>
      <c r="E110" s="19">
        <v>82.4</v>
      </c>
      <c r="F110" s="19">
        <v>2304537</v>
      </c>
      <c r="H110" s="29">
        <f t="shared" si="5"/>
        <v>4.0142185177428162</v>
      </c>
      <c r="I110" s="29" t="e">
        <f t="shared" si="6"/>
        <v>#NUM!</v>
      </c>
      <c r="J110" s="29">
        <f t="shared" si="7"/>
        <v>4.4115854369154262</v>
      </c>
      <c r="K110" s="29">
        <f t="shared" si="8"/>
        <v>14.650390346557312</v>
      </c>
    </row>
    <row r="111" spans="1:11" ht="16.5" thickBot="1" x14ac:dyDescent="0.3">
      <c r="A111" s="6" t="s">
        <v>38</v>
      </c>
      <c r="B111" s="2">
        <v>2016</v>
      </c>
      <c r="C111" s="43">
        <v>56.61</v>
      </c>
      <c r="D111" s="19">
        <v>11.4</v>
      </c>
      <c r="E111" s="19">
        <v>102.6</v>
      </c>
      <c r="F111" s="19">
        <v>2831652</v>
      </c>
      <c r="H111" s="29">
        <f t="shared" si="5"/>
        <v>4.0361856480485683</v>
      </c>
      <c r="I111" s="29">
        <f t="shared" si="6"/>
        <v>2.4336133554004498</v>
      </c>
      <c r="J111" s="29">
        <f t="shared" si="7"/>
        <v>4.6308379327366689</v>
      </c>
      <c r="K111" s="29">
        <f t="shared" si="8"/>
        <v>14.856370844889282</v>
      </c>
    </row>
    <row r="112" spans="1:11" ht="16.5" thickBot="1" x14ac:dyDescent="0.3">
      <c r="A112" s="6" t="s">
        <v>38</v>
      </c>
      <c r="B112" s="2">
        <v>2017</v>
      </c>
      <c r="C112" s="43">
        <v>56.07</v>
      </c>
      <c r="D112" s="19">
        <v>52.3</v>
      </c>
      <c r="E112" s="19">
        <v>212</v>
      </c>
      <c r="F112" s="19">
        <v>2845812</v>
      </c>
      <c r="H112" s="29">
        <f t="shared" si="5"/>
        <v>4.0266009101355813</v>
      </c>
      <c r="I112" s="29">
        <f t="shared" si="6"/>
        <v>3.9569963710708773</v>
      </c>
      <c r="J112" s="29">
        <f t="shared" si="7"/>
        <v>5.3565862746720123</v>
      </c>
      <c r="K112" s="29">
        <f t="shared" si="8"/>
        <v>14.861358997825297</v>
      </c>
    </row>
    <row r="113" spans="1:11" ht="16.5" thickBot="1" x14ac:dyDescent="0.3">
      <c r="A113" s="6" t="s">
        <v>38</v>
      </c>
      <c r="B113" s="2">
        <v>2018</v>
      </c>
      <c r="C113" s="43">
        <v>54.02</v>
      </c>
      <c r="D113" s="19">
        <v>1013.5</v>
      </c>
      <c r="E113" s="19">
        <v>8</v>
      </c>
      <c r="F113" s="19">
        <v>3083520</v>
      </c>
      <c r="H113" s="29">
        <f t="shared" si="5"/>
        <v>3.9893543483644698</v>
      </c>
      <c r="I113" s="29">
        <f t="shared" si="6"/>
        <v>6.9211649658920544</v>
      </c>
      <c r="J113" s="29">
        <f t="shared" si="7"/>
        <v>2.0794415416798357</v>
      </c>
      <c r="K113" s="29">
        <f t="shared" si="8"/>
        <v>14.941582359528534</v>
      </c>
    </row>
    <row r="114" spans="1:11" ht="16.5" thickBot="1" x14ac:dyDescent="0.3">
      <c r="A114" s="6" t="s">
        <v>38</v>
      </c>
      <c r="B114" s="2">
        <v>2019</v>
      </c>
      <c r="C114" s="43">
        <v>58.84</v>
      </c>
      <c r="D114" s="19">
        <v>283.2</v>
      </c>
      <c r="E114" s="19">
        <v>33</v>
      </c>
      <c r="F114" s="19">
        <v>3230500</v>
      </c>
      <c r="H114" s="29">
        <f t="shared" si="5"/>
        <v>4.0748218957332369</v>
      </c>
      <c r="I114" s="29">
        <f t="shared" si="6"/>
        <v>5.6461533618195645</v>
      </c>
      <c r="J114" s="29">
        <f t="shared" si="7"/>
        <v>3.4965075614664802</v>
      </c>
      <c r="K114" s="29">
        <f t="shared" si="8"/>
        <v>14.988147481980358</v>
      </c>
    </row>
    <row r="115" spans="1:11" ht="16.5" thickBot="1" x14ac:dyDescent="0.3">
      <c r="A115" s="6" t="s">
        <v>38</v>
      </c>
      <c r="B115" s="2">
        <v>2020</v>
      </c>
      <c r="C115" s="43">
        <v>59.56</v>
      </c>
      <c r="D115" s="19">
        <v>474.8</v>
      </c>
      <c r="E115" s="19">
        <v>498.4</v>
      </c>
      <c r="F115" s="19">
        <v>3384152</v>
      </c>
      <c r="H115" s="29">
        <f t="shared" si="5"/>
        <v>4.0869842078158083</v>
      </c>
      <c r="I115" s="29">
        <f t="shared" si="6"/>
        <v>6.1628936627355131</v>
      </c>
      <c r="J115" s="29">
        <f t="shared" si="7"/>
        <v>6.2114029674732434</v>
      </c>
      <c r="K115" s="29">
        <f t="shared" si="8"/>
        <v>15.034613915957184</v>
      </c>
    </row>
    <row r="116" spans="1:11" ht="16.5" thickBot="1" x14ac:dyDescent="0.3">
      <c r="A116" s="6" t="s">
        <v>39</v>
      </c>
      <c r="B116" s="2">
        <v>2015</v>
      </c>
      <c r="C116" s="43">
        <v>58.41</v>
      </c>
      <c r="D116" s="19">
        <v>48.2</v>
      </c>
      <c r="E116" s="19">
        <v>203.8</v>
      </c>
      <c r="F116" s="19">
        <v>1856130</v>
      </c>
      <c r="H116" s="29">
        <f t="shared" si="5"/>
        <v>4.0674871080522177</v>
      </c>
      <c r="I116" s="29">
        <f t="shared" si="6"/>
        <v>3.8753590210565547</v>
      </c>
      <c r="J116" s="29">
        <f t="shared" si="7"/>
        <v>5.3171391207886245</v>
      </c>
      <c r="K116" s="29">
        <f t="shared" si="8"/>
        <v>14.434004232978827</v>
      </c>
    </row>
    <row r="117" spans="1:11" ht="16.5" thickBot="1" x14ac:dyDescent="0.3">
      <c r="A117" s="6" t="s">
        <v>39</v>
      </c>
      <c r="B117" s="2">
        <v>2016</v>
      </c>
      <c r="C117" s="43">
        <v>61.31</v>
      </c>
      <c r="D117" s="19">
        <v>8.8000000000000007</v>
      </c>
      <c r="E117" s="19">
        <v>438.9</v>
      </c>
      <c r="F117" s="19">
        <v>2061128</v>
      </c>
      <c r="H117" s="29">
        <f t="shared" si="5"/>
        <v>4.1159429617745964</v>
      </c>
      <c r="I117" s="29">
        <f t="shared" si="6"/>
        <v>2.174751721484161</v>
      </c>
      <c r="J117" s="29">
        <f t="shared" si="7"/>
        <v>6.0842715966941885</v>
      </c>
      <c r="K117" s="29">
        <f t="shared" si="8"/>
        <v>14.538763963718008</v>
      </c>
    </row>
    <row r="118" spans="1:11" ht="16.5" thickBot="1" x14ac:dyDescent="0.3">
      <c r="A118" s="6" t="s">
        <v>39</v>
      </c>
      <c r="B118" s="2">
        <v>2017</v>
      </c>
      <c r="C118" s="43">
        <v>62.49</v>
      </c>
      <c r="D118" s="19">
        <v>1150.5999999999999</v>
      </c>
      <c r="E118" s="19">
        <v>228.1</v>
      </c>
      <c r="F118" s="19">
        <v>2312013</v>
      </c>
      <c r="H118" s="29">
        <f t="shared" si="5"/>
        <v>4.1350065439409907</v>
      </c>
      <c r="I118" s="29">
        <f t="shared" si="6"/>
        <v>7.0480388244291934</v>
      </c>
      <c r="J118" s="29">
        <f t="shared" si="7"/>
        <v>5.4297841292903426</v>
      </c>
      <c r="K118" s="29">
        <f t="shared" si="8"/>
        <v>14.653629131595967</v>
      </c>
    </row>
    <row r="119" spans="1:11" ht="16.5" thickBot="1" x14ac:dyDescent="0.3">
      <c r="A119" s="6" t="s">
        <v>39</v>
      </c>
      <c r="B119" s="2">
        <v>2018</v>
      </c>
      <c r="C119" s="43">
        <v>63.27</v>
      </c>
      <c r="D119" s="19">
        <v>2276.3000000000002</v>
      </c>
      <c r="E119" s="19">
        <v>362.8</v>
      </c>
      <c r="F119" s="19">
        <v>2516318</v>
      </c>
      <c r="H119" s="29">
        <f t="shared" si="5"/>
        <v>4.1474112831587933</v>
      </c>
      <c r="I119" s="29">
        <f t="shared" si="6"/>
        <v>7.7303065967533433</v>
      </c>
      <c r="J119" s="29">
        <f t="shared" si="7"/>
        <v>5.893851718240982</v>
      </c>
      <c r="K119" s="29">
        <f t="shared" si="8"/>
        <v>14.738307279912766</v>
      </c>
    </row>
    <row r="120" spans="1:11" ht="16.5" thickBot="1" x14ac:dyDescent="0.3">
      <c r="A120" s="6" t="s">
        <v>39</v>
      </c>
      <c r="B120" s="2">
        <v>2019</v>
      </c>
      <c r="C120" s="43">
        <v>64.61</v>
      </c>
      <c r="D120" s="19">
        <v>682.7</v>
      </c>
      <c r="E120" s="19">
        <v>1008.5</v>
      </c>
      <c r="F120" s="19">
        <v>2762086</v>
      </c>
      <c r="H120" s="29">
        <f t="shared" si="5"/>
        <v>4.1683691975700743</v>
      </c>
      <c r="I120" s="29">
        <f t="shared" si="6"/>
        <v>6.5260555244242351</v>
      </c>
      <c r="J120" s="29">
        <f t="shared" si="7"/>
        <v>6.9162193573942661</v>
      </c>
      <c r="K120" s="29">
        <f t="shared" si="8"/>
        <v>14.831496749323982</v>
      </c>
    </row>
    <row r="121" spans="1:11" ht="16.5" thickBot="1" x14ac:dyDescent="0.3">
      <c r="A121" s="6" t="s">
        <v>39</v>
      </c>
      <c r="B121" s="2">
        <v>2020</v>
      </c>
      <c r="C121" s="43">
        <v>64.459999999999994</v>
      </c>
      <c r="D121" s="19">
        <v>662.1</v>
      </c>
      <c r="E121" s="19">
        <v>176.7</v>
      </c>
      <c r="F121" s="19">
        <v>2750139</v>
      </c>
      <c r="H121" s="29">
        <f t="shared" si="5"/>
        <v>4.1660448763872919</v>
      </c>
      <c r="I121" s="29">
        <f t="shared" si="6"/>
        <v>6.4954166019308008</v>
      </c>
      <c r="J121" s="29">
        <f t="shared" si="7"/>
        <v>5.1744533793256506</v>
      </c>
      <c r="K121" s="29">
        <f t="shared" si="8"/>
        <v>14.827162013819921</v>
      </c>
    </row>
    <row r="122" spans="1:11" ht="16.5" thickBot="1" x14ac:dyDescent="0.3">
      <c r="A122" s="6" t="s">
        <v>40</v>
      </c>
      <c r="B122" s="2">
        <v>2015</v>
      </c>
      <c r="C122" s="43">
        <v>61.17</v>
      </c>
      <c r="D122" s="19">
        <v>347.8</v>
      </c>
      <c r="E122" s="19">
        <v>699.4</v>
      </c>
      <c r="F122" s="19">
        <v>3647334</v>
      </c>
      <c r="H122" s="29">
        <f t="shared" si="5"/>
        <v>4.1136568732544738</v>
      </c>
      <c r="I122" s="29">
        <f t="shared" si="6"/>
        <v>5.8516276019201827</v>
      </c>
      <c r="J122" s="29">
        <f t="shared" si="7"/>
        <v>6.5502228246292757</v>
      </c>
      <c r="K122" s="29">
        <f t="shared" si="8"/>
        <v>15.109507047719722</v>
      </c>
    </row>
    <row r="123" spans="1:11" ht="16.5" thickBot="1" x14ac:dyDescent="0.3">
      <c r="A123" s="6" t="s">
        <v>40</v>
      </c>
      <c r="B123" s="2">
        <v>2016</v>
      </c>
      <c r="C123" s="43">
        <v>57.46</v>
      </c>
      <c r="D123" s="19">
        <v>1342.8</v>
      </c>
      <c r="E123" s="19">
        <v>439</v>
      </c>
      <c r="F123" s="19">
        <v>4148660</v>
      </c>
      <c r="H123" s="29">
        <f t="shared" si="5"/>
        <v>4.0510890535511432</v>
      </c>
      <c r="I123" s="29">
        <f t="shared" si="6"/>
        <v>7.2025122651058799</v>
      </c>
      <c r="J123" s="29">
        <f t="shared" si="7"/>
        <v>6.0844994130751715</v>
      </c>
      <c r="K123" s="29">
        <f t="shared" si="8"/>
        <v>15.238295948499911</v>
      </c>
    </row>
    <row r="124" spans="1:11" ht="16.5" thickBot="1" x14ac:dyDescent="0.3">
      <c r="A124" s="6" t="s">
        <v>40</v>
      </c>
      <c r="B124" s="2">
        <v>2017</v>
      </c>
      <c r="C124" s="43">
        <v>57.11</v>
      </c>
      <c r="D124" s="19">
        <v>5413.5</v>
      </c>
      <c r="E124" s="19">
        <v>132.1</v>
      </c>
      <c r="F124" s="19">
        <v>5421933</v>
      </c>
      <c r="H124" s="29">
        <f t="shared" si="5"/>
        <v>4.0449792326767717</v>
      </c>
      <c r="I124" s="29">
        <f t="shared" si="6"/>
        <v>8.5966511127509531</v>
      </c>
      <c r="J124" s="29">
        <f t="shared" si="7"/>
        <v>4.8835592115282793</v>
      </c>
      <c r="K124" s="29">
        <f t="shared" si="8"/>
        <v>15.505962951900585</v>
      </c>
    </row>
    <row r="125" spans="1:11" ht="16.5" thickBot="1" x14ac:dyDescent="0.3">
      <c r="A125" s="6" t="s">
        <v>40</v>
      </c>
      <c r="B125" s="2">
        <v>2018</v>
      </c>
      <c r="C125" s="43">
        <v>54.87</v>
      </c>
      <c r="D125" s="19">
        <v>4135.1000000000004</v>
      </c>
      <c r="E125" s="19">
        <v>251.6</v>
      </c>
      <c r="F125" s="19">
        <v>5334651</v>
      </c>
      <c r="H125" s="29">
        <f t="shared" si="5"/>
        <v>4.0049667510708842</v>
      </c>
      <c r="I125" s="29">
        <f t="shared" si="6"/>
        <v>8.3272667909622253</v>
      </c>
      <c r="J125" s="29">
        <f t="shared" si="7"/>
        <v>5.5278405248262859</v>
      </c>
      <c r="K125" s="29">
        <f t="shared" si="8"/>
        <v>15.489734023521033</v>
      </c>
    </row>
    <row r="126" spans="1:11" ht="16.5" thickBot="1" x14ac:dyDescent="0.3">
      <c r="A126" s="6" t="s">
        <v>40</v>
      </c>
      <c r="B126" s="2">
        <v>2019</v>
      </c>
      <c r="C126" s="43">
        <v>58.01</v>
      </c>
      <c r="D126" s="19">
        <v>3519</v>
      </c>
      <c r="E126" s="19">
        <v>270.7</v>
      </c>
      <c r="F126" s="19">
        <v>5273582</v>
      </c>
      <c r="H126" s="29">
        <f t="shared" si="5"/>
        <v>4.0606154094779727</v>
      </c>
      <c r="I126" s="29">
        <f t="shared" si="6"/>
        <v>8.165932137321585</v>
      </c>
      <c r="J126" s="29">
        <f t="shared" si="7"/>
        <v>5.6010111966202558</v>
      </c>
      <c r="K126" s="29">
        <f t="shared" si="8"/>
        <v>15.478220386023255</v>
      </c>
    </row>
    <row r="127" spans="1:11" ht="16.5" thickBot="1" x14ac:dyDescent="0.3">
      <c r="A127" s="6" t="s">
        <v>40</v>
      </c>
      <c r="B127" s="2">
        <v>2020</v>
      </c>
      <c r="C127" s="43">
        <v>57.31</v>
      </c>
      <c r="D127" s="19">
        <v>6582.4</v>
      </c>
      <c r="E127" s="19">
        <v>2409</v>
      </c>
      <c r="F127" s="19">
        <v>5368329</v>
      </c>
      <c r="H127" s="29">
        <f t="shared" si="5"/>
        <v>4.0484751285636458</v>
      </c>
      <c r="I127" s="29">
        <f t="shared" si="6"/>
        <v>8.7921546994586386</v>
      </c>
      <c r="J127" s="29">
        <f t="shared" si="7"/>
        <v>7.7869670026148716</v>
      </c>
      <c r="K127" s="29">
        <f t="shared" si="8"/>
        <v>15.496027244876268</v>
      </c>
    </row>
    <row r="128" spans="1:11" ht="16.5" thickBot="1" x14ac:dyDescent="0.3">
      <c r="A128" s="6" t="s">
        <v>41</v>
      </c>
      <c r="B128" s="2">
        <v>2015</v>
      </c>
      <c r="C128" s="43">
        <v>52.6</v>
      </c>
      <c r="D128" s="19">
        <v>1295.7</v>
      </c>
      <c r="E128" s="19">
        <v>69.900000000000006</v>
      </c>
      <c r="F128" s="19">
        <v>3570228</v>
      </c>
      <c r="H128" s="29">
        <f t="shared" si="5"/>
        <v>3.9627161197436642</v>
      </c>
      <c r="I128" s="29">
        <f t="shared" si="6"/>
        <v>7.1668063686347647</v>
      </c>
      <c r="J128" s="29">
        <f t="shared" si="7"/>
        <v>4.2470656492397643</v>
      </c>
      <c r="K128" s="29">
        <f t="shared" si="8"/>
        <v>15.088140017262724</v>
      </c>
    </row>
    <row r="129" spans="1:11" ht="16.5" thickBot="1" x14ac:dyDescent="0.3">
      <c r="A129" s="6" t="s">
        <v>41</v>
      </c>
      <c r="B129" s="2">
        <v>2016</v>
      </c>
      <c r="C129" s="43">
        <v>55.55</v>
      </c>
      <c r="D129" s="19">
        <v>822.2</v>
      </c>
      <c r="E129" s="19">
        <v>58.2</v>
      </c>
      <c r="F129" s="19">
        <v>4040760</v>
      </c>
      <c r="H129" s="29">
        <f t="shared" si="5"/>
        <v>4.0172835160856391</v>
      </c>
      <c r="I129" s="29">
        <f t="shared" si="6"/>
        <v>6.7119836744637782</v>
      </c>
      <c r="J129" s="29">
        <f t="shared" si="7"/>
        <v>4.0638853547373923</v>
      </c>
      <c r="K129" s="29">
        <f t="shared" si="8"/>
        <v>15.211943351057089</v>
      </c>
    </row>
    <row r="130" spans="1:11" ht="16.5" thickBot="1" x14ac:dyDescent="0.3">
      <c r="A130" s="6" t="s">
        <v>41</v>
      </c>
      <c r="B130" s="2">
        <v>2017</v>
      </c>
      <c r="C130" s="43">
        <v>53.44</v>
      </c>
      <c r="D130" s="19">
        <v>1081.9000000000001</v>
      </c>
      <c r="E130" s="19">
        <v>139</v>
      </c>
      <c r="F130" s="19">
        <v>4987989</v>
      </c>
      <c r="H130" s="29">
        <f t="shared" si="5"/>
        <v>3.9785595292283902</v>
      </c>
      <c r="I130" s="29">
        <f t="shared" si="6"/>
        <v>6.9864740336935274</v>
      </c>
      <c r="J130" s="29">
        <f t="shared" si="7"/>
        <v>4.9344739331306915</v>
      </c>
      <c r="K130" s="29">
        <f t="shared" si="8"/>
        <v>15.42254338048693</v>
      </c>
    </row>
    <row r="131" spans="1:11" ht="16.5" thickBot="1" x14ac:dyDescent="0.3">
      <c r="A131" s="6" t="s">
        <v>41</v>
      </c>
      <c r="B131" s="2">
        <v>2018</v>
      </c>
      <c r="C131" s="43">
        <v>53.72</v>
      </c>
      <c r="D131" s="19">
        <v>4246.1000000000004</v>
      </c>
      <c r="E131" s="19">
        <v>100.4</v>
      </c>
      <c r="F131" s="19">
        <v>5059885</v>
      </c>
      <c r="H131" s="29">
        <f t="shared" ref="H131:H194" si="9">LN(C131)</f>
        <v>3.9837853716550367</v>
      </c>
      <c r="I131" s="29">
        <f t="shared" si="6"/>
        <v>8.3537561935638234</v>
      </c>
      <c r="J131" s="29">
        <f t="shared" si="7"/>
        <v>4.6091622072576293</v>
      </c>
      <c r="K131" s="29">
        <f t="shared" si="8"/>
        <v>15.436854313732653</v>
      </c>
    </row>
    <row r="132" spans="1:11" ht="16.5" thickBot="1" x14ac:dyDescent="0.3">
      <c r="A132" s="6" t="s">
        <v>41</v>
      </c>
      <c r="B132" s="2">
        <v>2019</v>
      </c>
      <c r="C132" s="43">
        <v>56.15</v>
      </c>
      <c r="D132" s="19">
        <v>3752.6</v>
      </c>
      <c r="E132" s="19">
        <v>126.8</v>
      </c>
      <c r="F132" s="19">
        <v>5448447</v>
      </c>
      <c r="H132" s="29">
        <f t="shared" si="9"/>
        <v>4.0280266811844525</v>
      </c>
      <c r="I132" s="29">
        <f t="shared" si="6"/>
        <v>8.230204212053275</v>
      </c>
      <c r="J132" s="29">
        <f t="shared" si="7"/>
        <v>4.8426110420031252</v>
      </c>
      <c r="K132" s="29">
        <f t="shared" si="8"/>
        <v>15.510841171903845</v>
      </c>
    </row>
    <row r="133" spans="1:11" ht="16.5" thickBot="1" x14ac:dyDescent="0.3">
      <c r="A133" s="6" t="s">
        <v>41</v>
      </c>
      <c r="B133" s="2">
        <v>2020</v>
      </c>
      <c r="C133" s="43">
        <v>56.23</v>
      </c>
      <c r="D133" s="19">
        <v>3028.5</v>
      </c>
      <c r="E133" s="19">
        <v>302.10000000000002</v>
      </c>
      <c r="F133" s="19">
        <v>5850641</v>
      </c>
      <c r="H133" s="29">
        <f t="shared" si="9"/>
        <v>4.0294504223041105</v>
      </c>
      <c r="I133" s="29">
        <f t="shared" si="6"/>
        <v>8.0158227264210016</v>
      </c>
      <c r="J133" s="29">
        <f t="shared" si="7"/>
        <v>5.7107580883926268</v>
      </c>
      <c r="K133" s="29">
        <f t="shared" si="8"/>
        <v>15.582061785854968</v>
      </c>
    </row>
    <row r="134" spans="1:11" ht="16.5" thickBot="1" x14ac:dyDescent="0.3">
      <c r="A134" s="6" t="s">
        <v>42</v>
      </c>
      <c r="B134" s="2">
        <v>2015</v>
      </c>
      <c r="C134" s="43">
        <v>49.09</v>
      </c>
      <c r="D134" s="19">
        <v>1275.2</v>
      </c>
      <c r="E134" s="19">
        <v>897</v>
      </c>
      <c r="F134" s="19">
        <v>12986632</v>
      </c>
      <c r="H134" s="29">
        <f t="shared" si="9"/>
        <v>3.8936553480699612</v>
      </c>
      <c r="I134" s="29">
        <f t="shared" si="6"/>
        <v>7.1508583080359509</v>
      </c>
      <c r="J134" s="29">
        <f t="shared" si="7"/>
        <v>6.799055862058796</v>
      </c>
      <c r="K134" s="29">
        <f t="shared" si="8"/>
        <v>16.379431078662417</v>
      </c>
    </row>
    <row r="135" spans="1:11" ht="16.5" thickBot="1" x14ac:dyDescent="0.3">
      <c r="A135" s="6" t="s">
        <v>42</v>
      </c>
      <c r="B135" s="2">
        <v>2016</v>
      </c>
      <c r="C135" s="43">
        <v>52.09</v>
      </c>
      <c r="D135" s="19">
        <v>220.5</v>
      </c>
      <c r="E135" s="19">
        <v>1168.4000000000001</v>
      </c>
      <c r="F135" s="19">
        <v>13071335</v>
      </c>
      <c r="H135" s="29">
        <f t="shared" si="9"/>
        <v>3.9529729917571004</v>
      </c>
      <c r="I135" s="29">
        <f t="shared" si="6"/>
        <v>5.3958976948869006</v>
      </c>
      <c r="J135" s="29">
        <f t="shared" si="7"/>
        <v>7.0633905705135858</v>
      </c>
      <c r="K135" s="29">
        <f t="shared" si="8"/>
        <v>16.385932222694869</v>
      </c>
    </row>
    <row r="136" spans="1:11" ht="16.5" thickBot="1" x14ac:dyDescent="0.3">
      <c r="A136" s="6" t="s">
        <v>42</v>
      </c>
      <c r="B136" s="2">
        <v>2017</v>
      </c>
      <c r="C136" s="43">
        <v>51.88</v>
      </c>
      <c r="D136" s="19">
        <v>1217.9000000000001</v>
      </c>
      <c r="E136" s="19">
        <v>1924.1</v>
      </c>
      <c r="F136" s="19">
        <v>14016057</v>
      </c>
      <c r="H136" s="29">
        <f t="shared" si="9"/>
        <v>3.948933359448243</v>
      </c>
      <c r="I136" s="29">
        <f t="shared" si="6"/>
        <v>7.1048833430930651</v>
      </c>
      <c r="J136" s="29">
        <f t="shared" si="7"/>
        <v>7.5622136049269706</v>
      </c>
      <c r="K136" s="29">
        <f t="shared" si="8"/>
        <v>16.455714158930864</v>
      </c>
    </row>
    <row r="137" spans="1:11" ht="16.5" thickBot="1" x14ac:dyDescent="0.3">
      <c r="A137" s="6" t="s">
        <v>42</v>
      </c>
      <c r="B137" s="2">
        <v>2018</v>
      </c>
      <c r="C137" s="43">
        <v>48.73</v>
      </c>
      <c r="D137" s="19">
        <v>104.6</v>
      </c>
      <c r="E137" s="19">
        <v>1132.3</v>
      </c>
      <c r="F137" s="19">
        <v>14134105</v>
      </c>
      <c r="H137" s="29">
        <f t="shared" si="9"/>
        <v>3.8862948568554145</v>
      </c>
      <c r="I137" s="29">
        <f t="shared" si="6"/>
        <v>4.6501435516308227</v>
      </c>
      <c r="J137" s="29">
        <f t="shared" si="7"/>
        <v>7.0320062413199942</v>
      </c>
      <c r="K137" s="29">
        <f t="shared" si="8"/>
        <v>16.464101229100205</v>
      </c>
    </row>
    <row r="138" spans="1:11" ht="16.5" thickBot="1" x14ac:dyDescent="0.3">
      <c r="A138" s="6" t="s">
        <v>42</v>
      </c>
      <c r="B138" s="2">
        <v>2019</v>
      </c>
      <c r="C138" s="43">
        <v>51.64</v>
      </c>
      <c r="D138" s="19">
        <v>567.70000000000005</v>
      </c>
      <c r="E138" s="19">
        <v>941</v>
      </c>
      <c r="F138" s="19">
        <v>13978118</v>
      </c>
      <c r="H138" s="29">
        <f t="shared" si="9"/>
        <v>3.9442965659784419</v>
      </c>
      <c r="I138" s="29">
        <f t="shared" si="6"/>
        <v>6.3415931101766807</v>
      </c>
      <c r="J138" s="29">
        <f t="shared" si="7"/>
        <v>6.8469431395853793</v>
      </c>
      <c r="K138" s="29">
        <f t="shared" si="8"/>
        <v>16.453003664820752</v>
      </c>
    </row>
    <row r="139" spans="1:11" ht="16.5" thickBot="1" x14ac:dyDescent="0.3">
      <c r="A139" s="6" t="s">
        <v>42</v>
      </c>
      <c r="B139" s="2">
        <v>2020</v>
      </c>
      <c r="C139" s="43">
        <v>57.52</v>
      </c>
      <c r="D139" s="19">
        <v>2722.2</v>
      </c>
      <c r="E139" s="19">
        <v>81.3</v>
      </c>
      <c r="F139" s="19">
        <v>15527559</v>
      </c>
      <c r="H139" s="29">
        <f t="shared" si="9"/>
        <v>4.0521327134127914</v>
      </c>
      <c r="I139" s="29">
        <f t="shared" si="6"/>
        <v>7.9091956558979728</v>
      </c>
      <c r="J139" s="29">
        <f t="shared" si="7"/>
        <v>4.3981460165537651</v>
      </c>
      <c r="K139" s="29">
        <f t="shared" si="8"/>
        <v>16.558127003118567</v>
      </c>
    </row>
    <row r="140" spans="1:11" ht="16.5" thickBot="1" x14ac:dyDescent="0.3">
      <c r="A140" s="6" t="s">
        <v>43</v>
      </c>
      <c r="B140" s="2">
        <v>2015</v>
      </c>
      <c r="C140" s="43">
        <v>60.85</v>
      </c>
      <c r="D140" s="19">
        <v>63.4</v>
      </c>
      <c r="E140" s="19">
        <v>258.60000000000002</v>
      </c>
      <c r="F140" s="19">
        <v>7506270</v>
      </c>
      <c r="H140" s="29">
        <f t="shared" si="9"/>
        <v>4.1084118194335364</v>
      </c>
      <c r="I140" s="29">
        <f t="shared" si="6"/>
        <v>4.1494638614431798</v>
      </c>
      <c r="J140" s="29">
        <f t="shared" si="7"/>
        <v>5.5552824663377569</v>
      </c>
      <c r="K140" s="29">
        <f t="shared" si="8"/>
        <v>15.831249229253176</v>
      </c>
    </row>
    <row r="141" spans="1:11" ht="16.5" thickBot="1" x14ac:dyDescent="0.3">
      <c r="A141" s="6" t="s">
        <v>43</v>
      </c>
      <c r="B141" s="2">
        <v>2016</v>
      </c>
      <c r="C141" s="43">
        <v>62.89</v>
      </c>
      <c r="D141" s="19">
        <v>10.6</v>
      </c>
      <c r="E141" s="19">
        <v>514.5</v>
      </c>
      <c r="F141" s="19">
        <v>7257003</v>
      </c>
      <c r="H141" s="29">
        <f t="shared" si="9"/>
        <v>4.1413871685554122</v>
      </c>
      <c r="I141" s="29">
        <f t="shared" si="6"/>
        <v>2.3608540011180215</v>
      </c>
      <c r="J141" s="29">
        <f t="shared" si="7"/>
        <v>6.2431955552741041</v>
      </c>
      <c r="K141" s="29">
        <f t="shared" si="8"/>
        <v>15.797477491654153</v>
      </c>
    </row>
    <row r="142" spans="1:11" ht="16.5" thickBot="1" x14ac:dyDescent="0.3">
      <c r="A142" s="6" t="s">
        <v>43</v>
      </c>
      <c r="B142" s="2">
        <v>2017</v>
      </c>
      <c r="C142" s="43">
        <v>60.83</v>
      </c>
      <c r="D142" s="19">
        <v>59.2</v>
      </c>
      <c r="E142" s="19">
        <v>84.7</v>
      </c>
      <c r="F142" s="19">
        <v>7839000</v>
      </c>
      <c r="H142" s="29">
        <f t="shared" si="9"/>
        <v>4.1080830883326138</v>
      </c>
      <c r="I142" s="29">
        <f t="shared" si="6"/>
        <v>4.0809215418899605</v>
      </c>
      <c r="J142" s="29">
        <f t="shared" si="7"/>
        <v>4.4391156016580089</v>
      </c>
      <c r="K142" s="29">
        <f t="shared" si="8"/>
        <v>15.87462183317086</v>
      </c>
    </row>
    <row r="143" spans="1:11" ht="16.5" thickBot="1" x14ac:dyDescent="0.3">
      <c r="A143" s="6" t="s">
        <v>43</v>
      </c>
      <c r="B143" s="2">
        <v>2018</v>
      </c>
      <c r="C143" s="43">
        <v>61.94</v>
      </c>
      <c r="D143" s="19">
        <v>50.9</v>
      </c>
      <c r="E143" s="19">
        <v>286.89999999999998</v>
      </c>
      <c r="F143" s="19">
        <v>8098275</v>
      </c>
      <c r="H143" s="29">
        <f t="shared" si="9"/>
        <v>4.1261661745450571</v>
      </c>
      <c r="I143" s="29">
        <f t="shared" si="6"/>
        <v>3.929862923556477</v>
      </c>
      <c r="J143" s="29">
        <f t="shared" si="7"/>
        <v>5.6591337229873186</v>
      </c>
      <c r="K143" s="29">
        <f t="shared" si="8"/>
        <v>15.907161633999872</v>
      </c>
    </row>
    <row r="144" spans="1:11" ht="16.5" thickBot="1" x14ac:dyDescent="0.3">
      <c r="A144" s="6" t="s">
        <v>43</v>
      </c>
      <c r="B144" s="2">
        <v>2019</v>
      </c>
      <c r="C144" s="43">
        <v>65.16</v>
      </c>
      <c r="D144" s="19">
        <v>380.2</v>
      </c>
      <c r="E144" s="19">
        <v>46.2</v>
      </c>
      <c r="F144" s="19">
        <v>8729203</v>
      </c>
      <c r="H144" s="29">
        <f t="shared" si="9"/>
        <v>4.1768457837338442</v>
      </c>
      <c r="I144" s="29">
        <f t="shared" si="6"/>
        <v>5.9406974300543292</v>
      </c>
      <c r="J144" s="29">
        <f t="shared" si="7"/>
        <v>3.8329797980876932</v>
      </c>
      <c r="K144" s="29">
        <f t="shared" si="8"/>
        <v>15.982184629261027</v>
      </c>
    </row>
    <row r="145" spans="1:11" ht="16.5" thickBot="1" x14ac:dyDescent="0.3">
      <c r="A145" s="6" t="s">
        <v>43</v>
      </c>
      <c r="B145" s="2">
        <v>2020</v>
      </c>
      <c r="C145" s="43">
        <v>67.31</v>
      </c>
      <c r="D145" s="19">
        <v>1925.4</v>
      </c>
      <c r="E145" s="19">
        <v>567.70000000000005</v>
      </c>
      <c r="F145" s="19">
        <v>11572152</v>
      </c>
      <c r="H145" s="29">
        <f t="shared" si="9"/>
        <v>4.2093088140226218</v>
      </c>
      <c r="I145" s="29">
        <f t="shared" si="6"/>
        <v>7.5628890173438661</v>
      </c>
      <c r="J145" s="29">
        <f t="shared" si="7"/>
        <v>6.3415931101766807</v>
      </c>
      <c r="K145" s="29">
        <f t="shared" si="8"/>
        <v>16.264112080145718</v>
      </c>
    </row>
    <row r="146" spans="1:11" ht="16.5" thickBot="1" x14ac:dyDescent="0.3">
      <c r="A146" s="6" t="s">
        <v>44</v>
      </c>
      <c r="B146" s="2">
        <v>2015</v>
      </c>
      <c r="C146" s="43">
        <v>61.88</v>
      </c>
      <c r="D146" s="19">
        <v>9943</v>
      </c>
      <c r="E146" s="19">
        <v>653.4</v>
      </c>
      <c r="F146" s="19">
        <v>10892856</v>
      </c>
      <c r="H146" s="29">
        <f t="shared" si="9"/>
        <v>4.1251970257048658</v>
      </c>
      <c r="I146" s="29">
        <f t="shared" ref="I146:I205" si="10">LN(D146)</f>
        <v>9.2046240649800737</v>
      </c>
      <c r="J146" s="29">
        <f t="shared" ref="J146:J205" si="11">LN(E146)</f>
        <v>6.48218949916697</v>
      </c>
      <c r="K146" s="29">
        <f t="shared" ref="K146:K205" si="12">LN(F146)</f>
        <v>16.203617719478444</v>
      </c>
    </row>
    <row r="147" spans="1:11" ht="16.5" thickBot="1" x14ac:dyDescent="0.3">
      <c r="A147" s="6" t="s">
        <v>44</v>
      </c>
      <c r="B147" s="2">
        <v>2016</v>
      </c>
      <c r="C147" s="43">
        <v>62.8</v>
      </c>
      <c r="D147" s="19">
        <v>6613.7</v>
      </c>
      <c r="E147" s="19">
        <v>869.1</v>
      </c>
      <c r="F147" s="19">
        <v>10075133</v>
      </c>
      <c r="H147" s="29">
        <f t="shared" si="9"/>
        <v>4.1399550734741526</v>
      </c>
      <c r="I147" s="29">
        <f t="shared" si="10"/>
        <v>8.7968985341822048</v>
      </c>
      <c r="J147" s="29">
        <f t="shared" si="11"/>
        <v>6.7674581934434146</v>
      </c>
      <c r="K147" s="29">
        <f t="shared" si="12"/>
        <v>16.125580866702443</v>
      </c>
    </row>
    <row r="148" spans="1:11" ht="16.5" thickBot="1" x14ac:dyDescent="0.3">
      <c r="A148" s="6" t="s">
        <v>44</v>
      </c>
      <c r="B148" s="2">
        <v>2017</v>
      </c>
      <c r="C148" s="43">
        <v>62.81</v>
      </c>
      <c r="D148" s="19">
        <v>10829.8</v>
      </c>
      <c r="E148" s="19">
        <v>1061.0999999999999</v>
      </c>
      <c r="F148" s="19">
        <v>9247194</v>
      </c>
      <c r="H148" s="29">
        <f t="shared" si="9"/>
        <v>4.1401142964662894</v>
      </c>
      <c r="I148" s="29">
        <f t="shared" si="10"/>
        <v>9.2900568726038308</v>
      </c>
      <c r="J148" s="29">
        <f t="shared" si="11"/>
        <v>6.9670613848795444</v>
      </c>
      <c r="K148" s="29">
        <f t="shared" si="12"/>
        <v>16.039830712116927</v>
      </c>
    </row>
    <row r="149" spans="1:11" ht="16.5" thickBot="1" x14ac:dyDescent="0.3">
      <c r="A149" s="6" t="s">
        <v>44</v>
      </c>
      <c r="B149" s="2">
        <v>2018</v>
      </c>
      <c r="C149" s="43">
        <v>61.44</v>
      </c>
      <c r="D149" s="19">
        <v>9056.4</v>
      </c>
      <c r="E149" s="19">
        <v>1032.9000000000001</v>
      </c>
      <c r="F149" s="19">
        <v>8537823</v>
      </c>
      <c r="H149" s="29">
        <f t="shared" si="9"/>
        <v>4.1180610888394167</v>
      </c>
      <c r="I149" s="29">
        <f t="shared" si="10"/>
        <v>9.1112269690788228</v>
      </c>
      <c r="J149" s="29">
        <f t="shared" si="11"/>
        <v>6.9401256590125877</v>
      </c>
      <c r="K149" s="29">
        <f t="shared" si="12"/>
        <v>15.96001661523484</v>
      </c>
    </row>
    <row r="150" spans="1:11" ht="16.5" thickBot="1" x14ac:dyDescent="0.3">
      <c r="A150" s="6" t="s">
        <v>44</v>
      </c>
      <c r="B150" s="2">
        <v>2019</v>
      </c>
      <c r="C150" s="43">
        <v>65.58</v>
      </c>
      <c r="D150" s="19">
        <v>26292.2</v>
      </c>
      <c r="E150" s="19">
        <v>1034</v>
      </c>
      <c r="F150" s="19">
        <v>9179049</v>
      </c>
      <c r="H150" s="29">
        <f t="shared" si="9"/>
        <v>4.1832707714165025</v>
      </c>
      <c r="I150" s="29">
        <f t="shared" si="10"/>
        <v>10.17702759623115</v>
      </c>
      <c r="J150" s="29">
        <f t="shared" si="11"/>
        <v>6.9411900550683745</v>
      </c>
      <c r="K150" s="29">
        <f t="shared" si="12"/>
        <v>16.032434162459122</v>
      </c>
    </row>
    <row r="151" spans="1:11" ht="16.5" thickBot="1" x14ac:dyDescent="0.3">
      <c r="A151" s="6" t="s">
        <v>44</v>
      </c>
      <c r="B151" s="2">
        <v>2020</v>
      </c>
      <c r="C151" s="43">
        <v>64.510000000000005</v>
      </c>
      <c r="D151" s="19">
        <v>34117.800000000003</v>
      </c>
      <c r="E151" s="19">
        <v>10.6</v>
      </c>
      <c r="F151" s="19">
        <v>8704391</v>
      </c>
      <c r="H151" s="29">
        <f t="shared" si="9"/>
        <v>4.1668202505441503</v>
      </c>
      <c r="I151" s="29">
        <f t="shared" si="10"/>
        <v>10.437574521214959</v>
      </c>
      <c r="J151" s="29">
        <f t="shared" si="11"/>
        <v>2.3608540011180215</v>
      </c>
      <c r="K151" s="29">
        <f t="shared" si="12"/>
        <v>15.979338168943904</v>
      </c>
    </row>
    <row r="152" spans="1:11" ht="16.5" thickBot="1" x14ac:dyDescent="0.3">
      <c r="A152" s="6" t="s">
        <v>45</v>
      </c>
      <c r="B152" s="2">
        <v>2015</v>
      </c>
      <c r="C152" s="43">
        <v>53.06</v>
      </c>
      <c r="D152" s="19">
        <v>1103.8</v>
      </c>
      <c r="E152" s="19">
        <v>2</v>
      </c>
      <c r="F152" s="19">
        <v>1473750</v>
      </c>
      <c r="H152" s="29">
        <f t="shared" si="9"/>
        <v>3.9714233487095938</v>
      </c>
      <c r="I152" s="29">
        <f t="shared" si="10"/>
        <v>7.0065140510054009</v>
      </c>
      <c r="J152" s="29">
        <f t="shared" si="11"/>
        <v>0.69314718055994529</v>
      </c>
      <c r="K152" s="29">
        <f t="shared" si="12"/>
        <v>14.203320730833719</v>
      </c>
    </row>
    <row r="153" spans="1:11" ht="16.5" thickBot="1" x14ac:dyDescent="0.3">
      <c r="A153" s="6" t="s">
        <v>45</v>
      </c>
      <c r="B153" s="2">
        <v>2016</v>
      </c>
      <c r="C153" s="43">
        <v>55.97</v>
      </c>
      <c r="D153" s="19">
        <v>84.1</v>
      </c>
      <c r="E153" s="19">
        <v>20.6</v>
      </c>
      <c r="F153" s="19">
        <v>1814445</v>
      </c>
      <c r="H153" s="29">
        <f t="shared" si="9"/>
        <v>4.0248158329032684</v>
      </c>
      <c r="I153" s="29">
        <f t="shared" si="10"/>
        <v>4.4320065669789024</v>
      </c>
      <c r="J153" s="29">
        <f t="shared" si="11"/>
        <v>3.0252910757955354</v>
      </c>
      <c r="K153" s="29">
        <f t="shared" si="12"/>
        <v>14.411290193795317</v>
      </c>
    </row>
    <row r="154" spans="1:11" ht="16.5" thickBot="1" x14ac:dyDescent="0.3">
      <c r="A154" s="6" t="s">
        <v>45</v>
      </c>
      <c r="B154" s="2">
        <v>2017</v>
      </c>
      <c r="C154" s="43">
        <v>56.05</v>
      </c>
      <c r="D154" s="19">
        <v>660.2</v>
      </c>
      <c r="E154" s="19">
        <v>11.4</v>
      </c>
      <c r="F154" s="19">
        <v>1977195</v>
      </c>
      <c r="H154" s="29">
        <f t="shared" si="9"/>
        <v>4.0262441495181687</v>
      </c>
      <c r="I154" s="29">
        <f t="shared" si="10"/>
        <v>6.4925428194190928</v>
      </c>
      <c r="J154" s="29">
        <f t="shared" si="11"/>
        <v>2.4336133554004498</v>
      </c>
      <c r="K154" s="29">
        <f t="shared" si="12"/>
        <v>14.497189731583097</v>
      </c>
    </row>
    <row r="155" spans="1:11" ht="16.5" thickBot="1" x14ac:dyDescent="0.3">
      <c r="A155" s="6" t="s">
        <v>45</v>
      </c>
      <c r="B155" s="2">
        <v>2018</v>
      </c>
      <c r="C155" s="43">
        <v>58.52</v>
      </c>
      <c r="D155" s="19">
        <v>3144.2</v>
      </c>
      <c r="E155" s="19">
        <v>24.7</v>
      </c>
      <c r="F155" s="19">
        <v>1907106</v>
      </c>
      <c r="H155" s="29">
        <f t="shared" si="9"/>
        <v>4.0693685761519234</v>
      </c>
      <c r="I155" s="29">
        <f t="shared" si="10"/>
        <v>8.0533147647574133</v>
      </c>
      <c r="J155" s="29">
        <f t="shared" si="11"/>
        <v>3.2068032436339315</v>
      </c>
      <c r="K155" s="29">
        <f t="shared" si="12"/>
        <v>14.461097467725777</v>
      </c>
    </row>
    <row r="156" spans="1:11" ht="16.5" thickBot="1" x14ac:dyDescent="0.3">
      <c r="A156" s="6" t="s">
        <v>45</v>
      </c>
      <c r="B156" s="2">
        <v>2019</v>
      </c>
      <c r="C156" s="43">
        <v>59.44</v>
      </c>
      <c r="D156" s="19">
        <v>1187.2</v>
      </c>
      <c r="E156" s="19">
        <v>10.1</v>
      </c>
      <c r="F156" s="19">
        <v>2135482</v>
      </c>
      <c r="H156" s="29">
        <f t="shared" si="9"/>
        <v>4.0849674004095036</v>
      </c>
      <c r="I156" s="29">
        <f t="shared" si="10"/>
        <v>7.0793528724131161</v>
      </c>
      <c r="J156" s="29">
        <f t="shared" si="11"/>
        <v>2.3125354238472138</v>
      </c>
      <c r="K156" s="29">
        <f t="shared" si="12"/>
        <v>14.574202940288776</v>
      </c>
    </row>
    <row r="157" spans="1:11" ht="16.5" thickBot="1" x14ac:dyDescent="0.3">
      <c r="A157" s="6" t="s">
        <v>45</v>
      </c>
      <c r="B157" s="2">
        <v>2020</v>
      </c>
      <c r="C157" s="43">
        <v>57.66</v>
      </c>
      <c r="D157" s="19">
        <v>252.9</v>
      </c>
      <c r="E157" s="19">
        <v>1078</v>
      </c>
      <c r="F157" s="19">
        <v>2140482</v>
      </c>
      <c r="H157" s="29">
        <f t="shared" si="9"/>
        <v>4.0545636922102561</v>
      </c>
      <c r="I157" s="29">
        <f t="shared" si="10"/>
        <v>5.5329941536759195</v>
      </c>
      <c r="J157" s="29">
        <f t="shared" si="11"/>
        <v>6.9828627514689421</v>
      </c>
      <c r="K157" s="29">
        <f t="shared" si="12"/>
        <v>14.576541595281604</v>
      </c>
    </row>
    <row r="158" spans="1:11" ht="16.5" thickBot="1" x14ac:dyDescent="0.3">
      <c r="A158" s="6" t="s">
        <v>46</v>
      </c>
      <c r="B158" s="2">
        <v>2015</v>
      </c>
      <c r="C158" s="43">
        <v>57.29</v>
      </c>
      <c r="D158" s="19">
        <v>9215.2999999999993</v>
      </c>
      <c r="E158" s="19">
        <v>233.3</v>
      </c>
      <c r="F158" s="19">
        <v>6415560</v>
      </c>
      <c r="H158" s="29">
        <f t="shared" si="9"/>
        <v>4.0481260884204868</v>
      </c>
      <c r="I158" s="29">
        <f t="shared" si="10"/>
        <v>9.128620425189844</v>
      </c>
      <c r="J158" s="29">
        <f t="shared" si="11"/>
        <v>5.4523251790273841</v>
      </c>
      <c r="K158" s="29">
        <f t="shared" si="12"/>
        <v>15.674236847623256</v>
      </c>
    </row>
    <row r="159" spans="1:11" ht="16.5" thickBot="1" x14ac:dyDescent="0.3">
      <c r="A159" s="6" t="s">
        <v>46</v>
      </c>
      <c r="B159" s="2">
        <v>2016</v>
      </c>
      <c r="C159" s="43">
        <v>60.16</v>
      </c>
      <c r="D159" s="19">
        <v>3334.6</v>
      </c>
      <c r="E159" s="19">
        <v>372.5</v>
      </c>
      <c r="F159" s="19">
        <v>7292544</v>
      </c>
      <c r="H159" s="29">
        <f t="shared" si="9"/>
        <v>4.0970076796415844</v>
      </c>
      <c r="I159" s="29">
        <f t="shared" si="10"/>
        <v>8.1121080111263577</v>
      </c>
      <c r="J159" s="29">
        <f t="shared" si="11"/>
        <v>5.9202370378196143</v>
      </c>
      <c r="K159" s="29">
        <f t="shared" si="12"/>
        <v>15.802363014301973</v>
      </c>
    </row>
    <row r="160" spans="1:11" ht="16.5" thickBot="1" x14ac:dyDescent="0.3">
      <c r="A160" s="6" t="s">
        <v>46</v>
      </c>
      <c r="B160" s="2">
        <v>2017</v>
      </c>
      <c r="C160" s="43">
        <v>58.68</v>
      </c>
      <c r="D160" s="19">
        <v>1969.4</v>
      </c>
      <c r="E160" s="19">
        <v>712.8</v>
      </c>
      <c r="F160" s="19">
        <v>9220495</v>
      </c>
      <c r="H160" s="29">
        <f t="shared" si="9"/>
        <v>4.0720989532747813</v>
      </c>
      <c r="I160" s="29">
        <f t="shared" si="10"/>
        <v>7.5854842068137014</v>
      </c>
      <c r="J160" s="29">
        <f t="shared" si="11"/>
        <v>6.5692008761565992</v>
      </c>
      <c r="K160" s="29">
        <f t="shared" si="12"/>
        <v>16.036939281727221</v>
      </c>
    </row>
    <row r="161" spans="1:11" ht="16.5" thickBot="1" x14ac:dyDescent="0.3">
      <c r="A161" s="6" t="s">
        <v>46</v>
      </c>
      <c r="B161" s="2">
        <v>2018</v>
      </c>
      <c r="C161" s="43">
        <v>58.35</v>
      </c>
      <c r="D161" s="19">
        <v>3275.9</v>
      </c>
      <c r="E161" s="19">
        <v>617.20000000000005</v>
      </c>
      <c r="F161" s="19">
        <v>9444558</v>
      </c>
      <c r="H161" s="29">
        <f t="shared" si="9"/>
        <v>4.0664593587325646</v>
      </c>
      <c r="I161" s="29">
        <f t="shared" si="10"/>
        <v>8.0943479194765366</v>
      </c>
      <c r="J161" s="29">
        <f t="shared" si="11"/>
        <v>6.4251931204890056</v>
      </c>
      <c r="K161" s="29">
        <f t="shared" si="12"/>
        <v>16.060949260575502</v>
      </c>
    </row>
    <row r="162" spans="1:11" ht="16.5" thickBot="1" x14ac:dyDescent="0.3">
      <c r="A162" s="6" t="s">
        <v>46</v>
      </c>
      <c r="B162" s="2">
        <v>2019</v>
      </c>
      <c r="C162" s="43">
        <v>60.96</v>
      </c>
      <c r="D162" s="19">
        <v>5672.6</v>
      </c>
      <c r="E162" s="19">
        <v>302.60000000000002</v>
      </c>
      <c r="F162" s="19">
        <v>10099897</v>
      </c>
      <c r="H162" s="29">
        <f t="shared" si="9"/>
        <v>4.110217911378391</v>
      </c>
      <c r="I162" s="29">
        <f t="shared" si="10"/>
        <v>8.6434028454100247</v>
      </c>
      <c r="J162" s="29">
        <f t="shared" si="11"/>
        <v>5.7124118013542553</v>
      </c>
      <c r="K162" s="29">
        <f t="shared" si="12"/>
        <v>16.128035783739687</v>
      </c>
    </row>
    <row r="163" spans="1:11" ht="16.5" thickBot="1" x14ac:dyDescent="0.3">
      <c r="A163" s="6"/>
      <c r="B163" s="2">
        <v>2020</v>
      </c>
      <c r="C163" s="43">
        <v>61.21</v>
      </c>
      <c r="D163" s="19">
        <v>9142</v>
      </c>
      <c r="E163" s="19">
        <v>6.5</v>
      </c>
      <c r="F163" s="19">
        <v>10374681</v>
      </c>
      <c r="H163" s="29">
        <f t="shared" si="9"/>
        <v>4.1143105748629782</v>
      </c>
      <c r="I163" s="29">
        <f t="shared" si="10"/>
        <v>9.1206344588916899</v>
      </c>
      <c r="J163" s="29">
        <f t="shared" si="11"/>
        <v>1.8718021769015913</v>
      </c>
      <c r="K163" s="29">
        <f t="shared" si="12"/>
        <v>16.154878876620387</v>
      </c>
    </row>
    <row r="164" spans="1:11" ht="16.5" thickBot="1" x14ac:dyDescent="0.3">
      <c r="A164" s="6" t="s">
        <v>47</v>
      </c>
      <c r="B164" s="2">
        <v>2015</v>
      </c>
      <c r="C164" s="43">
        <v>54.55</v>
      </c>
      <c r="D164" s="19">
        <v>968.4</v>
      </c>
      <c r="E164" s="19">
        <v>1085.2</v>
      </c>
      <c r="F164" s="19">
        <v>3037418</v>
      </c>
      <c r="H164" s="29">
        <f t="shared" si="9"/>
        <v>3.9991177122790798</v>
      </c>
      <c r="I164" s="29">
        <f t="shared" si="10"/>
        <v>6.8756452250639031</v>
      </c>
      <c r="J164" s="29">
        <f t="shared" si="11"/>
        <v>6.9895195807847763</v>
      </c>
      <c r="K164" s="29">
        <f t="shared" si="12"/>
        <v>14.926518370381771</v>
      </c>
    </row>
    <row r="165" spans="1:11" ht="16.5" thickBot="1" x14ac:dyDescent="0.3">
      <c r="A165" s="6" t="s">
        <v>47</v>
      </c>
      <c r="B165" s="2">
        <v>2016</v>
      </c>
      <c r="C165" s="43">
        <v>54.55</v>
      </c>
      <c r="D165" s="19">
        <v>1081.2</v>
      </c>
      <c r="E165" s="19">
        <v>1600.3</v>
      </c>
      <c r="F165" s="19">
        <v>3253130</v>
      </c>
      <c r="H165" s="29">
        <f t="shared" si="9"/>
        <v>3.9991177122790798</v>
      </c>
      <c r="I165" s="29">
        <f t="shared" si="10"/>
        <v>6.9858268144022926</v>
      </c>
      <c r="J165" s="29">
        <f t="shared" si="11"/>
        <v>7.3779463906519442</v>
      </c>
      <c r="K165" s="29">
        <f t="shared" si="12"/>
        <v>14.995128167767959</v>
      </c>
    </row>
    <row r="166" spans="1:11" ht="16.5" thickBot="1" x14ac:dyDescent="0.3">
      <c r="A166" s="6" t="s">
        <v>47</v>
      </c>
      <c r="B166" s="2">
        <v>2017</v>
      </c>
      <c r="C166" s="43">
        <v>52.62</v>
      </c>
      <c r="D166" s="19">
        <v>1929.7</v>
      </c>
      <c r="E166" s="19">
        <v>1545.6</v>
      </c>
      <c r="F166" s="19">
        <v>3708728</v>
      </c>
      <c r="H166" s="29">
        <f t="shared" si="9"/>
        <v>3.9630962756121466</v>
      </c>
      <c r="I166" s="29">
        <f t="shared" si="10"/>
        <v>7.5651198294023105</v>
      </c>
      <c r="J166" s="29">
        <f t="shared" si="11"/>
        <v>7.3431674634582533</v>
      </c>
      <c r="K166" s="29">
        <f t="shared" si="12"/>
        <v>15.126199518651813</v>
      </c>
    </row>
    <row r="167" spans="1:11" ht="16.5" thickBot="1" x14ac:dyDescent="0.3">
      <c r="A167" s="6" t="s">
        <v>47</v>
      </c>
      <c r="B167" s="2">
        <v>2018</v>
      </c>
      <c r="C167" s="43">
        <v>55.33</v>
      </c>
      <c r="D167" s="19">
        <v>8488.9</v>
      </c>
      <c r="E167" s="19">
        <v>672.4</v>
      </c>
      <c r="F167" s="19">
        <v>4106732</v>
      </c>
      <c r="H167" s="29">
        <f t="shared" si="9"/>
        <v>4.0133152569100181</v>
      </c>
      <c r="I167" s="29">
        <f t="shared" si="10"/>
        <v>9.0465147067180602</v>
      </c>
      <c r="J167" s="29">
        <f t="shared" si="11"/>
        <v>6.5108534015344608</v>
      </c>
      <c r="K167" s="29">
        <f t="shared" si="12"/>
        <v>15.228138136365899</v>
      </c>
    </row>
    <row r="168" spans="1:11" ht="16.5" thickBot="1" x14ac:dyDescent="0.3">
      <c r="A168" s="6" t="s">
        <v>47</v>
      </c>
      <c r="B168" s="2">
        <v>2019</v>
      </c>
      <c r="C168" s="43">
        <v>54.73</v>
      </c>
      <c r="D168" s="19">
        <v>4438.8</v>
      </c>
      <c r="E168" s="19">
        <v>1805</v>
      </c>
      <c r="F168" s="19">
        <v>4323326</v>
      </c>
      <c r="H168" s="29">
        <f t="shared" si="9"/>
        <v>4.0024120051558265</v>
      </c>
      <c r="I168" s="29">
        <f t="shared" si="10"/>
        <v>8.3981393486264082</v>
      </c>
      <c r="J168" s="29">
        <f t="shared" si="11"/>
        <v>7.498315870766981</v>
      </c>
      <c r="K168" s="29">
        <f t="shared" si="12"/>
        <v>15.279535571401027</v>
      </c>
    </row>
    <row r="169" spans="1:11" ht="16.5" thickBot="1" x14ac:dyDescent="0.3">
      <c r="A169" s="6" t="s">
        <v>47</v>
      </c>
      <c r="B169" s="2">
        <v>2020</v>
      </c>
      <c r="C169" s="43">
        <v>58.31</v>
      </c>
      <c r="D169" s="19">
        <v>5261.3</v>
      </c>
      <c r="E169" s="19">
        <v>236.1</v>
      </c>
      <c r="F169" s="19">
        <v>4623258</v>
      </c>
      <c r="H169" s="29">
        <f t="shared" si="9"/>
        <v>4.0657736052340647</v>
      </c>
      <c r="I169" s="29">
        <f t="shared" si="10"/>
        <v>8.5681334234846211</v>
      </c>
      <c r="J169" s="29">
        <f t="shared" si="11"/>
        <v>5.4642554440914672</v>
      </c>
      <c r="K169" s="29">
        <f t="shared" si="12"/>
        <v>15.346610209330096</v>
      </c>
    </row>
    <row r="170" spans="1:11" ht="16.5" thickBot="1" x14ac:dyDescent="0.3">
      <c r="A170" s="6" t="s">
        <v>48</v>
      </c>
      <c r="B170" s="2">
        <v>2015</v>
      </c>
      <c r="C170" s="43">
        <v>57.14</v>
      </c>
      <c r="D170" s="19">
        <v>2015.4</v>
      </c>
      <c r="E170" s="19">
        <v>145</v>
      </c>
      <c r="F170" s="19">
        <v>2886690</v>
      </c>
      <c r="H170" s="29">
        <f t="shared" si="9"/>
        <v>4.0455043968026274</v>
      </c>
      <c r="I170" s="29">
        <f t="shared" si="10"/>
        <v>7.6085729658463022</v>
      </c>
      <c r="J170" s="29">
        <f t="shared" si="11"/>
        <v>4.9767337424205742</v>
      </c>
      <c r="K170" s="29">
        <f t="shared" si="12"/>
        <v>14.875621074978717</v>
      </c>
    </row>
    <row r="171" spans="1:11" ht="16.5" thickBot="1" x14ac:dyDescent="0.3">
      <c r="A171" s="6" t="s">
        <v>48</v>
      </c>
      <c r="B171" s="2">
        <v>2016</v>
      </c>
      <c r="C171" s="43">
        <v>59.47</v>
      </c>
      <c r="D171" s="19">
        <v>1794.2</v>
      </c>
      <c r="E171" s="19">
        <v>376.1</v>
      </c>
      <c r="F171" s="19">
        <v>3260316</v>
      </c>
      <c r="H171" s="29">
        <f t="shared" si="9"/>
        <v>4.0854719837185023</v>
      </c>
      <c r="I171" s="29">
        <f t="shared" si="10"/>
        <v>7.4923145191251832</v>
      </c>
      <c r="J171" s="29">
        <f t="shared" si="11"/>
        <v>5.9298550654762909</v>
      </c>
      <c r="K171" s="29">
        <f t="shared" si="12"/>
        <v>14.997334681160575</v>
      </c>
    </row>
    <row r="172" spans="1:11" ht="16.5" thickBot="1" x14ac:dyDescent="0.3">
      <c r="A172" s="6" t="s">
        <v>48</v>
      </c>
      <c r="B172" s="2">
        <v>2017</v>
      </c>
      <c r="C172" s="43">
        <v>59.13</v>
      </c>
      <c r="D172" s="19">
        <v>3148.7</v>
      </c>
      <c r="E172" s="19">
        <v>693</v>
      </c>
      <c r="F172" s="19">
        <v>4033244</v>
      </c>
      <c r="H172" s="29">
        <f t="shared" si="9"/>
        <v>4.0797384098327383</v>
      </c>
      <c r="I172" s="29">
        <f t="shared" si="10"/>
        <v>8.0547449482235525</v>
      </c>
      <c r="J172" s="29">
        <f t="shared" si="11"/>
        <v>6.5410299991899032</v>
      </c>
      <c r="K172" s="29">
        <f t="shared" si="12"/>
        <v>15.210081572893241</v>
      </c>
    </row>
    <row r="173" spans="1:11" ht="16.5" thickBot="1" x14ac:dyDescent="0.3">
      <c r="A173" s="6" t="s">
        <v>48</v>
      </c>
      <c r="B173" s="2">
        <v>2018</v>
      </c>
      <c r="C173" s="43">
        <v>58.53</v>
      </c>
      <c r="D173" s="19">
        <v>1603.4</v>
      </c>
      <c r="E173" s="19">
        <v>672.9</v>
      </c>
      <c r="F173" s="19">
        <v>4138218</v>
      </c>
      <c r="H173" s="29">
        <f t="shared" si="9"/>
        <v>4.0695394433031291</v>
      </c>
      <c r="I173" s="29">
        <f t="shared" si="10"/>
        <v>7.3798816536088516</v>
      </c>
      <c r="J173" s="29">
        <f t="shared" si="11"/>
        <v>6.5115967301942721</v>
      </c>
      <c r="K173" s="29">
        <f t="shared" si="12"/>
        <v>15.235775818355245</v>
      </c>
    </row>
    <row r="174" spans="1:11" ht="16.5" thickBot="1" x14ac:dyDescent="0.3">
      <c r="A174" s="6" t="s">
        <v>48</v>
      </c>
      <c r="B174" s="2">
        <v>2019</v>
      </c>
      <c r="C174" s="43">
        <v>62.29</v>
      </c>
      <c r="D174" s="19">
        <v>3827.1</v>
      </c>
      <c r="E174" s="19">
        <v>987.7</v>
      </c>
      <c r="F174" s="19">
        <v>4310571</v>
      </c>
      <c r="H174" s="29">
        <f t="shared" si="9"/>
        <v>4.1318008992660538</v>
      </c>
      <c r="I174" s="29">
        <f t="shared" si="10"/>
        <v>8.2498626152123542</v>
      </c>
      <c r="J174" s="29">
        <f t="shared" si="11"/>
        <v>6.895379007914082</v>
      </c>
      <c r="K174" s="29">
        <f t="shared" si="12"/>
        <v>15.276580935903494</v>
      </c>
    </row>
    <row r="175" spans="1:11" ht="16.5" thickBot="1" x14ac:dyDescent="0.3">
      <c r="A175" s="6" t="s">
        <v>48</v>
      </c>
      <c r="B175" s="2">
        <v>2020</v>
      </c>
      <c r="C175" s="43">
        <v>60.09</v>
      </c>
      <c r="D175" s="19">
        <v>2865.7</v>
      </c>
      <c r="E175" s="19">
        <v>1779</v>
      </c>
      <c r="F175" s="19">
        <v>4576359</v>
      </c>
      <c r="H175" s="29">
        <f t="shared" si="9"/>
        <v>4.0958434383458364</v>
      </c>
      <c r="I175" s="29">
        <f t="shared" si="10"/>
        <v>7.9605679274033223</v>
      </c>
      <c r="J175" s="29">
        <f t="shared" si="11"/>
        <v>7.4838066876658349</v>
      </c>
      <c r="K175" s="29">
        <f t="shared" si="12"/>
        <v>15.336414261761714</v>
      </c>
    </row>
    <row r="176" spans="1:11" ht="16.5" thickBot="1" x14ac:dyDescent="0.3">
      <c r="A176" s="6" t="s">
        <v>49</v>
      </c>
      <c r="B176" s="2">
        <v>2015</v>
      </c>
      <c r="C176" s="43">
        <v>60.7</v>
      </c>
      <c r="D176" s="19">
        <v>270.60000000000002</v>
      </c>
      <c r="E176" s="19">
        <v>88</v>
      </c>
      <c r="F176" s="19">
        <v>2818668</v>
      </c>
      <c r="H176" s="29">
        <f t="shared" si="9"/>
        <v>4.1059436980654525</v>
      </c>
      <c r="I176" s="29">
        <f t="shared" si="10"/>
        <v>5.6006417157366881</v>
      </c>
      <c r="J176" s="29">
        <f t="shared" si="11"/>
        <v>4.4773368144782069</v>
      </c>
      <c r="K176" s="29">
        <f t="shared" si="12"/>
        <v>14.851774990900886</v>
      </c>
    </row>
    <row r="177" spans="1:11" ht="16.5" thickBot="1" x14ac:dyDescent="0.3">
      <c r="A177" s="6" t="s">
        <v>49</v>
      </c>
      <c r="B177" s="2">
        <v>2016</v>
      </c>
      <c r="C177" s="43">
        <v>61.48</v>
      </c>
      <c r="D177" s="19">
        <v>5069.6000000000004</v>
      </c>
      <c r="E177" s="19">
        <v>382.8</v>
      </c>
      <c r="F177" s="19">
        <v>2985770</v>
      </c>
      <c r="H177" s="29">
        <f t="shared" si="9"/>
        <v>4.1187119186703951</v>
      </c>
      <c r="I177" s="29">
        <f t="shared" si="10"/>
        <v>8.531017198009307</v>
      </c>
      <c r="J177" s="29">
        <f t="shared" si="11"/>
        <v>5.9475126595787993</v>
      </c>
      <c r="K177" s="29">
        <f t="shared" si="12"/>
        <v>14.909368227992706</v>
      </c>
    </row>
    <row r="178" spans="1:11" ht="16.5" thickBot="1" x14ac:dyDescent="0.3">
      <c r="A178" s="6" t="s">
        <v>49</v>
      </c>
      <c r="B178" s="2">
        <v>2017</v>
      </c>
      <c r="C178" s="43">
        <v>61.68</v>
      </c>
      <c r="D178" s="19">
        <v>1488.2</v>
      </c>
      <c r="E178" s="19">
        <v>482.9</v>
      </c>
      <c r="F178" s="19">
        <v>3891527</v>
      </c>
      <c r="H178" s="29">
        <f t="shared" si="9"/>
        <v>4.1219597292550745</v>
      </c>
      <c r="I178" s="29">
        <f t="shared" si="10"/>
        <v>7.3053226149631607</v>
      </c>
      <c r="J178" s="29">
        <f t="shared" si="11"/>
        <v>6.1798095928794963</v>
      </c>
      <c r="K178" s="29">
        <f t="shared" si="12"/>
        <v>15.174312183556149</v>
      </c>
    </row>
    <row r="179" spans="1:11" ht="16.5" thickBot="1" x14ac:dyDescent="0.3">
      <c r="A179" s="6" t="s">
        <v>49</v>
      </c>
      <c r="B179" s="2">
        <v>2018</v>
      </c>
      <c r="C179" s="43">
        <v>60.32</v>
      </c>
      <c r="D179" s="19">
        <v>4320.1000000000004</v>
      </c>
      <c r="E179" s="19">
        <v>295.89999999999998</v>
      </c>
      <c r="F179" s="19">
        <v>4080736</v>
      </c>
      <c r="H179" s="29">
        <f t="shared" si="9"/>
        <v>4.0996637236997007</v>
      </c>
      <c r="I179" s="29">
        <f t="shared" si="10"/>
        <v>8.3710338291183906</v>
      </c>
      <c r="J179" s="29">
        <f t="shared" si="11"/>
        <v>5.6900215594061638</v>
      </c>
      <c r="K179" s="29">
        <f t="shared" si="12"/>
        <v>15.221787922268499</v>
      </c>
    </row>
    <row r="180" spans="1:11" ht="16.5" thickBot="1" x14ac:dyDescent="0.3">
      <c r="A180" s="6" t="s">
        <v>49</v>
      </c>
      <c r="B180" s="2">
        <v>2019</v>
      </c>
      <c r="C180" s="43">
        <v>64.44</v>
      </c>
      <c r="D180" s="19">
        <v>8259.6</v>
      </c>
      <c r="E180" s="19">
        <v>220.5</v>
      </c>
      <c r="F180" s="19">
        <v>4524486</v>
      </c>
      <c r="H180" s="29">
        <f t="shared" si="9"/>
        <v>4.1657345583087739</v>
      </c>
      <c r="I180" s="29">
        <f t="shared" si="10"/>
        <v>9.0191314391923196</v>
      </c>
      <c r="J180" s="29">
        <f t="shared" si="11"/>
        <v>5.3958976948869006</v>
      </c>
      <c r="K180" s="29">
        <f t="shared" si="12"/>
        <v>15.325014537503979</v>
      </c>
    </row>
    <row r="181" spans="1:11" ht="16.5" thickBot="1" x14ac:dyDescent="0.3">
      <c r="A181" s="6" t="s">
        <v>49</v>
      </c>
      <c r="B181" s="2">
        <v>2020</v>
      </c>
      <c r="C181" s="43">
        <v>64.900000000000006</v>
      </c>
      <c r="D181" s="19">
        <v>3005.6</v>
      </c>
      <c r="E181" s="19">
        <v>1268.5999999999999</v>
      </c>
      <c r="F181" s="19">
        <v>4640155</v>
      </c>
      <c r="H181" s="29">
        <f t="shared" si="9"/>
        <v>4.1728476237100445</v>
      </c>
      <c r="I181" s="29">
        <f t="shared" si="10"/>
        <v>8.0082324942597598</v>
      </c>
      <c r="J181" s="29">
        <f t="shared" si="11"/>
        <v>7.1456692091997969</v>
      </c>
      <c r="K181" s="29">
        <f t="shared" si="12"/>
        <v>15.350258328816912</v>
      </c>
    </row>
    <row r="182" spans="1:11" ht="16.5" thickBot="1" x14ac:dyDescent="0.3">
      <c r="A182" s="6" t="s">
        <v>50</v>
      </c>
      <c r="B182" s="2">
        <v>2015</v>
      </c>
      <c r="C182" s="43">
        <v>63.01</v>
      </c>
      <c r="D182" s="19">
        <v>1552.5</v>
      </c>
      <c r="E182" s="19">
        <v>57.1</v>
      </c>
      <c r="F182" s="19">
        <v>4326354</v>
      </c>
      <c r="H182" s="29">
        <f t="shared" si="9"/>
        <v>4.1432934439539642</v>
      </c>
      <c r="I182" s="29">
        <f t="shared" si="10"/>
        <v>7.3476218138076339</v>
      </c>
      <c r="J182" s="29">
        <f t="shared" si="11"/>
        <v>4.0448041166619646</v>
      </c>
      <c r="K182" s="29">
        <f t="shared" si="12"/>
        <v>15.280235712937753</v>
      </c>
    </row>
    <row r="183" spans="1:11" ht="16.5" thickBot="1" x14ac:dyDescent="0.3">
      <c r="A183" s="6" t="s">
        <v>50</v>
      </c>
      <c r="B183" s="2">
        <v>2016</v>
      </c>
      <c r="C183" s="43">
        <v>63.4</v>
      </c>
      <c r="D183" s="19">
        <v>3795.6</v>
      </c>
      <c r="E183" s="19">
        <v>79.3</v>
      </c>
      <c r="F183" s="19">
        <v>4876172</v>
      </c>
      <c r="H183" s="29">
        <f t="shared" si="9"/>
        <v>4.1494638614431798</v>
      </c>
      <c r="I183" s="29">
        <f t="shared" si="10"/>
        <v>8.2415977800996032</v>
      </c>
      <c r="J183" s="29">
        <f t="shared" si="11"/>
        <v>4.3732381286408026</v>
      </c>
      <c r="K183" s="29">
        <f t="shared" si="12"/>
        <v>15.39987104377658</v>
      </c>
    </row>
    <row r="184" spans="1:11" ht="16.5" thickBot="1" x14ac:dyDescent="0.3">
      <c r="A184" s="6" t="s">
        <v>50</v>
      </c>
      <c r="B184" s="2">
        <v>2017</v>
      </c>
      <c r="C184" s="43">
        <v>63.85</v>
      </c>
      <c r="D184" s="19">
        <v>1517</v>
      </c>
      <c r="E184" s="19">
        <v>194.4</v>
      </c>
      <c r="F184" s="19">
        <v>6363961</v>
      </c>
      <c r="H184" s="29">
        <f t="shared" si="9"/>
        <v>4.1565365824785481</v>
      </c>
      <c r="I184" s="29">
        <f t="shared" si="10"/>
        <v>7.3244899793485319</v>
      </c>
      <c r="J184" s="29">
        <f t="shared" si="11"/>
        <v>5.2699178920263385</v>
      </c>
      <c r="K184" s="29">
        <f t="shared" si="12"/>
        <v>15.666161540199793</v>
      </c>
    </row>
    <row r="185" spans="1:11" ht="16.5" thickBot="1" x14ac:dyDescent="0.3">
      <c r="A185" s="6" t="s">
        <v>50</v>
      </c>
      <c r="B185" s="2">
        <v>2018</v>
      </c>
      <c r="C185" s="43">
        <v>64.239999999999995</v>
      </c>
      <c r="D185" s="19">
        <v>2309.4</v>
      </c>
      <c r="E185" s="19">
        <v>180.8</v>
      </c>
      <c r="F185" s="19">
        <v>6822712</v>
      </c>
      <c r="H185" s="29">
        <f t="shared" si="9"/>
        <v>4.162626069638506</v>
      </c>
      <c r="I185" s="29">
        <f t="shared" si="10"/>
        <v>7.7447430295177551</v>
      </c>
      <c r="J185" s="29">
        <f t="shared" si="11"/>
        <v>5.1973914479580765</v>
      </c>
      <c r="K185" s="29">
        <f t="shared" si="12"/>
        <v>15.735767604735207</v>
      </c>
    </row>
    <row r="186" spans="1:11" ht="16.5" thickBot="1" x14ac:dyDescent="0.3">
      <c r="A186" s="6" t="s">
        <v>50</v>
      </c>
      <c r="B186" s="2">
        <v>2019</v>
      </c>
      <c r="C186" s="43">
        <v>66.400000000000006</v>
      </c>
      <c r="D186" s="19">
        <v>3026.6</v>
      </c>
      <c r="E186" s="19">
        <v>157.1</v>
      </c>
      <c r="F186" s="19">
        <v>7150369</v>
      </c>
      <c r="H186" s="29">
        <f t="shared" si="9"/>
        <v>4.1956970564823886</v>
      </c>
      <c r="I186" s="29">
        <f t="shared" si="10"/>
        <v>8.0151951562529256</v>
      </c>
      <c r="J186" s="29">
        <f t="shared" si="11"/>
        <v>5.0568825452615753</v>
      </c>
      <c r="K186" s="29">
        <f t="shared" si="12"/>
        <v>15.782674521730131</v>
      </c>
    </row>
    <row r="187" spans="1:11" ht="16.5" thickBot="1" x14ac:dyDescent="0.3">
      <c r="A187" s="6" t="s">
        <v>50</v>
      </c>
      <c r="B187" s="2">
        <v>2020</v>
      </c>
      <c r="C187" s="43">
        <v>64.930000000000007</v>
      </c>
      <c r="D187" s="19">
        <v>3106.2</v>
      </c>
      <c r="E187" s="19">
        <v>155.69999999999999</v>
      </c>
      <c r="F187" s="19">
        <v>6701552</v>
      </c>
      <c r="H187" s="29">
        <f t="shared" si="9"/>
        <v>4.1733097665203953</v>
      </c>
      <c r="I187" s="29">
        <f t="shared" si="10"/>
        <v>8.0411553931359112</v>
      </c>
      <c r="J187" s="29">
        <f t="shared" si="11"/>
        <v>5.0479310788399525</v>
      </c>
      <c r="K187" s="29">
        <f t="shared" si="12"/>
        <v>15.717849699327422</v>
      </c>
    </row>
    <row r="188" spans="1:11" ht="16.5" thickBot="1" x14ac:dyDescent="0.3">
      <c r="A188" s="6" t="s">
        <v>51</v>
      </c>
      <c r="B188" s="2">
        <v>2015</v>
      </c>
      <c r="C188" s="43">
        <v>55.67</v>
      </c>
      <c r="D188" s="19">
        <v>10944.1</v>
      </c>
      <c r="E188" s="19">
        <v>645.79999999999995</v>
      </c>
      <c r="F188" s="19">
        <v>6030394</v>
      </c>
      <c r="H188" s="29">
        <f t="shared" si="9"/>
        <v>4.0194414021954161</v>
      </c>
      <c r="I188" s="29">
        <f t="shared" si="10"/>
        <v>9.3005557772474869</v>
      </c>
      <c r="J188" s="29">
        <f t="shared" si="11"/>
        <v>6.470489858324175</v>
      </c>
      <c r="K188" s="29">
        <f t="shared" si="12"/>
        <v>15.612322906535638</v>
      </c>
    </row>
    <row r="189" spans="1:11" ht="16.5" thickBot="1" x14ac:dyDescent="0.3">
      <c r="A189" s="6" t="s">
        <v>51</v>
      </c>
      <c r="B189" s="2">
        <v>2016</v>
      </c>
      <c r="C189" s="43">
        <v>54.33</v>
      </c>
      <c r="D189" s="19">
        <v>8534.1</v>
      </c>
      <c r="E189" s="19">
        <v>2793.5</v>
      </c>
      <c r="F189" s="19">
        <v>6627642</v>
      </c>
      <c r="H189" s="29">
        <f t="shared" si="9"/>
        <v>3.9950765605634317</v>
      </c>
      <c r="I189" s="29">
        <f t="shared" si="10"/>
        <v>9.051825181513836</v>
      </c>
      <c r="J189" s="29">
        <f t="shared" si="11"/>
        <v>7.9350505688992037</v>
      </c>
      <c r="K189" s="29">
        <f t="shared" si="12"/>
        <v>15.706759642792814</v>
      </c>
    </row>
    <row r="190" spans="1:11" ht="16.5" thickBot="1" x14ac:dyDescent="0.3">
      <c r="A190" s="6" t="s">
        <v>51</v>
      </c>
      <c r="B190" s="2">
        <v>2017</v>
      </c>
      <c r="C190" s="43">
        <v>57.6</v>
      </c>
      <c r="D190" s="19">
        <v>8200.2000000000007</v>
      </c>
      <c r="E190" s="19">
        <v>1182.9000000000001</v>
      </c>
      <c r="F190" s="19">
        <v>8260827</v>
      </c>
      <c r="H190" s="29">
        <f t="shared" si="9"/>
        <v>4.0535225677018456</v>
      </c>
      <c r="I190" s="29">
        <f t="shared" si="10"/>
        <v>9.0119138231988103</v>
      </c>
      <c r="J190" s="29">
        <f t="shared" si="11"/>
        <v>7.0757243295516909</v>
      </c>
      <c r="K190" s="29">
        <f t="shared" si="12"/>
        <v>15.927035261550756</v>
      </c>
    </row>
    <row r="191" spans="1:11" ht="16.5" thickBot="1" x14ac:dyDescent="0.3">
      <c r="A191" s="6" t="s">
        <v>51</v>
      </c>
      <c r="B191" s="2">
        <v>2018</v>
      </c>
      <c r="C191" s="43">
        <v>55.01</v>
      </c>
      <c r="D191" s="19">
        <v>9519.7999999999993</v>
      </c>
      <c r="E191" s="19">
        <v>1078.5999999999999</v>
      </c>
      <c r="F191" s="19">
        <v>9182301</v>
      </c>
      <c r="H191" s="29">
        <f t="shared" si="9"/>
        <v>4.007514986887367</v>
      </c>
      <c r="I191" s="29">
        <f t="shared" si="10"/>
        <v>9.1611291191613695</v>
      </c>
      <c r="J191" s="29">
        <f t="shared" si="11"/>
        <v>6.9834191829031269</v>
      </c>
      <c r="K191" s="29">
        <f t="shared" si="12"/>
        <v>16.032788384783082</v>
      </c>
    </row>
    <row r="192" spans="1:11" ht="16.5" thickBot="1" x14ac:dyDescent="0.3">
      <c r="A192" s="6" t="s">
        <v>51</v>
      </c>
      <c r="B192" s="2">
        <v>2019</v>
      </c>
      <c r="C192" s="43">
        <v>59.03</v>
      </c>
      <c r="D192" s="19">
        <v>16921.099999999999</v>
      </c>
      <c r="E192" s="19">
        <v>736.5</v>
      </c>
      <c r="F192" s="19">
        <v>9713473</v>
      </c>
      <c r="H192" s="29">
        <f t="shared" si="9"/>
        <v>4.0780457892525979</v>
      </c>
      <c r="I192" s="29">
        <f t="shared" si="10"/>
        <v>9.7363166428673686</v>
      </c>
      <c r="J192" s="29">
        <f t="shared" si="11"/>
        <v>6.601909235902685</v>
      </c>
      <c r="K192" s="29">
        <f t="shared" si="12"/>
        <v>16.089024448820521</v>
      </c>
    </row>
    <row r="193" spans="1:11" ht="16.5" thickBot="1" x14ac:dyDescent="0.3">
      <c r="A193" s="6" t="s">
        <v>51</v>
      </c>
      <c r="B193" s="2">
        <v>2020</v>
      </c>
      <c r="C193" s="43">
        <v>59.34</v>
      </c>
      <c r="D193" s="19">
        <v>15824.5</v>
      </c>
      <c r="E193" s="19">
        <v>125.6</v>
      </c>
      <c r="F193" s="19">
        <v>9753498</v>
      </c>
      <c r="H193" s="29">
        <f t="shared" si="9"/>
        <v>4.0832836148626761</v>
      </c>
      <c r="I193" s="29">
        <f t="shared" si="10"/>
        <v>9.6693146509366077</v>
      </c>
      <c r="J193" s="29">
        <f t="shared" si="11"/>
        <v>4.833102254034098</v>
      </c>
      <c r="K193" s="29">
        <f t="shared" si="12"/>
        <v>16.093136547862507</v>
      </c>
    </row>
    <row r="194" spans="1:11" ht="16.5" thickBot="1" x14ac:dyDescent="0.3">
      <c r="A194" s="6" t="s">
        <v>52</v>
      </c>
      <c r="B194" s="2">
        <v>2015</v>
      </c>
      <c r="C194" s="43">
        <v>55.54</v>
      </c>
      <c r="D194" s="19">
        <v>4287.3999999999996</v>
      </c>
      <c r="E194" s="19">
        <v>1246.0999999999999</v>
      </c>
      <c r="F194" s="19">
        <v>8495657</v>
      </c>
      <c r="H194" s="29">
        <f t="shared" si="9"/>
        <v>4.0171034818786531</v>
      </c>
      <c r="I194" s="29">
        <f t="shared" si="10"/>
        <v>8.3634357675870348</v>
      </c>
      <c r="J194" s="29">
        <f t="shared" si="11"/>
        <v>7.1277739529488215</v>
      </c>
      <c r="K194" s="29">
        <f t="shared" si="12"/>
        <v>15.955065649709152</v>
      </c>
    </row>
    <row r="195" spans="1:11" ht="16.5" thickBot="1" x14ac:dyDescent="0.3">
      <c r="A195" s="6" t="s">
        <v>52</v>
      </c>
      <c r="B195" s="2">
        <v>2016</v>
      </c>
      <c r="C195" s="43">
        <v>43.04</v>
      </c>
      <c r="D195" s="19">
        <v>4864.2</v>
      </c>
      <c r="E195" s="19">
        <v>1014.7</v>
      </c>
      <c r="F195" s="19">
        <v>10976895</v>
      </c>
      <c r="H195" s="29">
        <f t="shared" ref="H195:H205" si="13">LN(C195)</f>
        <v>3.7621299158535288</v>
      </c>
      <c r="I195" s="29">
        <f t="shared" si="10"/>
        <v>8.4896575412217157</v>
      </c>
      <c r="J195" s="29">
        <f t="shared" si="11"/>
        <v>6.9223482812850374</v>
      </c>
      <c r="K195" s="29">
        <f t="shared" si="12"/>
        <v>16.211303167168662</v>
      </c>
    </row>
    <row r="196" spans="1:11" ht="16.5" thickBot="1" x14ac:dyDescent="0.3">
      <c r="A196" s="6" t="s">
        <v>52</v>
      </c>
      <c r="B196" s="2">
        <v>2017</v>
      </c>
      <c r="C196" s="43">
        <v>43.29</v>
      </c>
      <c r="D196" s="19">
        <v>11683.6</v>
      </c>
      <c r="E196" s="19">
        <v>1514.9</v>
      </c>
      <c r="F196" s="19">
        <v>13402544</v>
      </c>
      <c r="H196" s="29">
        <f t="shared" si="13"/>
        <v>3.7679216614538893</v>
      </c>
      <c r="I196" s="29">
        <f t="shared" si="10"/>
        <v>9.3659414280705278</v>
      </c>
      <c r="J196" s="29">
        <f t="shared" si="11"/>
        <v>7.3231047091642782</v>
      </c>
      <c r="K196" s="29">
        <f t="shared" si="12"/>
        <v>16.410955097648035</v>
      </c>
    </row>
    <row r="197" spans="1:11" ht="16.5" thickBot="1" x14ac:dyDescent="0.3">
      <c r="A197" s="6" t="s">
        <v>52</v>
      </c>
      <c r="B197" s="2">
        <v>2018</v>
      </c>
      <c r="C197" s="43">
        <v>47.06</v>
      </c>
      <c r="D197" s="19">
        <v>8371.7999999999993</v>
      </c>
      <c r="E197" s="19">
        <v>1227.5999999999999</v>
      </c>
      <c r="F197" s="19">
        <v>13544555</v>
      </c>
      <c r="H197" s="29">
        <f t="shared" si="13"/>
        <v>3.8514233832992164</v>
      </c>
      <c r="I197" s="29">
        <f t="shared" si="10"/>
        <v>9.0326241941262158</v>
      </c>
      <c r="J197" s="29">
        <f t="shared" si="11"/>
        <v>7.112816322745581</v>
      </c>
      <c r="K197" s="29">
        <f t="shared" si="12"/>
        <v>16.421495179510188</v>
      </c>
    </row>
    <row r="198" spans="1:11" ht="16.5" thickBot="1" x14ac:dyDescent="0.3">
      <c r="A198" s="6" t="s">
        <v>52</v>
      </c>
      <c r="B198" s="2">
        <v>2019</v>
      </c>
      <c r="C198" s="43">
        <v>53.38</v>
      </c>
      <c r="D198" s="19">
        <v>19749</v>
      </c>
      <c r="E198" s="19">
        <v>379.5</v>
      </c>
      <c r="F198" s="19">
        <v>15827753</v>
      </c>
      <c r="H198" s="29">
        <f t="shared" si="13"/>
        <v>3.9774361439763783</v>
      </c>
      <c r="I198" s="29">
        <f t="shared" si="10"/>
        <v>9.8908581361359857</v>
      </c>
      <c r="J198" s="29">
        <f t="shared" si="11"/>
        <v>5.938854596835685</v>
      </c>
      <c r="K198" s="29">
        <f t="shared" si="12"/>
        <v>16.577275476109183</v>
      </c>
    </row>
    <row r="199" spans="1:11" ht="16.5" thickBot="1" x14ac:dyDescent="0.3">
      <c r="A199" s="6" t="s">
        <v>52</v>
      </c>
      <c r="B199" s="2">
        <v>2020</v>
      </c>
      <c r="C199" s="43">
        <v>52.99</v>
      </c>
      <c r="D199" s="19">
        <v>18189.5</v>
      </c>
      <c r="E199" s="19">
        <v>1543.9</v>
      </c>
      <c r="F199" s="19">
        <v>13252957</v>
      </c>
      <c r="H199" s="29">
        <f t="shared" si="13"/>
        <v>3.9701032165046706</v>
      </c>
      <c r="I199" s="29">
        <f t="shared" si="10"/>
        <v>9.8085997835038103</v>
      </c>
      <c r="J199" s="29">
        <f t="shared" si="11"/>
        <v>7.3420669616478813</v>
      </c>
      <c r="K199" s="29">
        <f t="shared" si="12"/>
        <v>16.399731255309149</v>
      </c>
    </row>
    <row r="200" spans="1:11" ht="16.5" thickBot="1" x14ac:dyDescent="0.3">
      <c r="A200" s="6" t="s">
        <v>53</v>
      </c>
      <c r="B200" s="2">
        <v>2015</v>
      </c>
      <c r="C200" s="43">
        <v>68.290000000000006</v>
      </c>
      <c r="D200" s="19">
        <v>362.4</v>
      </c>
      <c r="E200" s="19">
        <v>89.1</v>
      </c>
      <c r="F200" s="19">
        <v>3911108</v>
      </c>
      <c r="H200" s="29">
        <f t="shared" si="13"/>
        <v>4.2237633429729984</v>
      </c>
      <c r="I200" s="29">
        <f t="shared" si="10"/>
        <v>5.8927485741688246</v>
      </c>
      <c r="J200" s="29">
        <f t="shared" si="11"/>
        <v>4.4897593344767639</v>
      </c>
      <c r="K200" s="29">
        <f t="shared" si="12"/>
        <v>15.179331267777245</v>
      </c>
    </row>
    <row r="201" spans="1:11" ht="16.5" thickBot="1" x14ac:dyDescent="0.3">
      <c r="A201" s="6" t="s">
        <v>53</v>
      </c>
      <c r="B201" s="2">
        <v>2016</v>
      </c>
      <c r="C201" s="43">
        <v>68.87</v>
      </c>
      <c r="D201" s="19">
        <v>948.6</v>
      </c>
      <c r="E201" s="19">
        <v>19.600000000000001</v>
      </c>
      <c r="F201" s="19">
        <v>4270073</v>
      </c>
      <c r="H201" s="29">
        <f t="shared" si="13"/>
        <v>4.2322206695566074</v>
      </c>
      <c r="I201" s="29">
        <f t="shared" si="10"/>
        <v>6.8549872134434811</v>
      </c>
      <c r="J201" s="29">
        <f t="shared" si="11"/>
        <v>2.9755295662364718</v>
      </c>
      <c r="K201" s="29">
        <f t="shared" si="12"/>
        <v>15.267141481077408</v>
      </c>
    </row>
    <row r="202" spans="1:11" ht="16.5" thickBot="1" x14ac:dyDescent="0.3">
      <c r="A202" s="6" t="s">
        <v>53</v>
      </c>
      <c r="B202" s="2">
        <v>2017</v>
      </c>
      <c r="C202" s="43">
        <v>68.8</v>
      </c>
      <c r="D202" s="19">
        <v>294.60000000000002</v>
      </c>
      <c r="E202" s="19">
        <v>36.5</v>
      </c>
      <c r="F202" s="19">
        <v>5279617</v>
      </c>
      <c r="H202" s="29">
        <f t="shared" si="13"/>
        <v>4.2312037449392976</v>
      </c>
      <c r="I202" s="29">
        <f t="shared" si="10"/>
        <v>5.6856185040285299</v>
      </c>
      <c r="J202" s="29">
        <f t="shared" si="11"/>
        <v>3.597312260588446</v>
      </c>
      <c r="K202" s="29">
        <f t="shared" si="12"/>
        <v>15.479364115172658</v>
      </c>
    </row>
    <row r="203" spans="1:11" ht="16.5" thickBot="1" x14ac:dyDescent="0.3">
      <c r="A203" s="6" t="s">
        <v>53</v>
      </c>
      <c r="B203" s="2">
        <v>2018</v>
      </c>
      <c r="C203" s="43">
        <v>67.77</v>
      </c>
      <c r="D203" s="19">
        <v>6131.7</v>
      </c>
      <c r="E203" s="19">
        <v>81.3</v>
      </c>
      <c r="F203" s="19">
        <v>5790571</v>
      </c>
      <c r="H203" s="29">
        <f t="shared" si="13"/>
        <v>4.2161196191480217</v>
      </c>
      <c r="I203" s="29">
        <f t="shared" si="10"/>
        <v>8.7212273151158417</v>
      </c>
      <c r="J203" s="29">
        <f t="shared" si="11"/>
        <v>4.3981460165537651</v>
      </c>
      <c r="K203" s="29">
        <f t="shared" si="12"/>
        <v>15.571741462994138</v>
      </c>
    </row>
    <row r="204" spans="1:11" ht="16.5" thickBot="1" x14ac:dyDescent="0.3">
      <c r="A204" s="6" t="s">
        <v>53</v>
      </c>
      <c r="B204" s="2">
        <v>2019</v>
      </c>
      <c r="C204" s="43">
        <v>69.84</v>
      </c>
      <c r="D204" s="19">
        <v>6298.8</v>
      </c>
      <c r="E204" s="19">
        <v>14.6</v>
      </c>
      <c r="F204" s="19">
        <v>6149113</v>
      </c>
      <c r="H204" s="29">
        <f t="shared" si="13"/>
        <v>4.2462069115313472</v>
      </c>
      <c r="I204" s="29">
        <f t="shared" si="10"/>
        <v>8.7481144180462547</v>
      </c>
      <c r="J204" s="29">
        <f t="shared" si="11"/>
        <v>2.6810215287142909</v>
      </c>
      <c r="K204" s="29">
        <f t="shared" si="12"/>
        <v>15.631818401738618</v>
      </c>
    </row>
    <row r="205" spans="1:11" ht="16.5" thickBot="1" x14ac:dyDescent="0.3">
      <c r="A205" s="6" t="s">
        <v>53</v>
      </c>
      <c r="B205" s="2">
        <v>2020</v>
      </c>
      <c r="C205" s="43">
        <v>68.3</v>
      </c>
      <c r="D205" s="19">
        <v>2683.4</v>
      </c>
      <c r="E205" s="19">
        <v>974.8</v>
      </c>
      <c r="F205" s="19">
        <v>6035224</v>
      </c>
      <c r="H205" s="29">
        <f t="shared" si="13"/>
        <v>4.2239097665767442</v>
      </c>
      <c r="I205" s="29">
        <f t="shared" si="10"/>
        <v>7.8948399261563713</v>
      </c>
      <c r="J205" s="29">
        <f t="shared" si="11"/>
        <v>6.8822323217510508</v>
      </c>
      <c r="K205" s="29">
        <f t="shared" si="12"/>
        <v>15.613123528643515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1"/>
  <sheetViews>
    <sheetView workbookViewId="0">
      <selection activeCell="C45" sqref="C45"/>
    </sheetView>
  </sheetViews>
  <sheetFormatPr defaultRowHeight="15" x14ac:dyDescent="0.25"/>
  <cols>
    <col min="1" max="1" width="27.140625" customWidth="1"/>
  </cols>
  <sheetData>
    <row r="1" spans="1:7" ht="16.5" thickBot="1" x14ac:dyDescent="0.3">
      <c r="A1" s="25" t="s">
        <v>92</v>
      </c>
      <c r="B1" s="23"/>
      <c r="C1" s="23"/>
      <c r="D1" s="23"/>
      <c r="E1" s="23"/>
      <c r="F1" s="23"/>
      <c r="G1" s="23"/>
    </row>
    <row r="2" spans="1:7" ht="16.5" thickBot="1" x14ac:dyDescent="0.3">
      <c r="A2" s="1" t="s">
        <v>91</v>
      </c>
      <c r="B2" s="1">
        <v>2015</v>
      </c>
      <c r="C2" s="1">
        <v>2016</v>
      </c>
      <c r="D2" s="1">
        <v>2017</v>
      </c>
      <c r="E2" s="1">
        <v>2018</v>
      </c>
      <c r="F2" s="1">
        <v>2019</v>
      </c>
      <c r="G2" s="1">
        <v>2020</v>
      </c>
    </row>
    <row r="3" spans="1:7" ht="16.5" thickBot="1" x14ac:dyDescent="0.3">
      <c r="A3" s="24" t="s">
        <v>20</v>
      </c>
      <c r="B3" s="20">
        <v>4192.3999999999996</v>
      </c>
      <c r="C3" s="20">
        <v>2456.1</v>
      </c>
      <c r="D3" s="20">
        <v>782.8</v>
      </c>
      <c r="E3" s="20">
        <v>970</v>
      </c>
      <c r="F3" s="20">
        <v>3606.9</v>
      </c>
      <c r="G3" s="20">
        <v>8241.1</v>
      </c>
    </row>
    <row r="4" spans="1:7" ht="16.5" thickBot="1" x14ac:dyDescent="0.3">
      <c r="A4" s="20" t="s">
        <v>21</v>
      </c>
      <c r="B4" s="20">
        <v>1250.4000000000001</v>
      </c>
      <c r="C4" s="20">
        <v>482.3</v>
      </c>
      <c r="D4" s="20">
        <v>592.5</v>
      </c>
      <c r="E4" s="20">
        <v>1548.8</v>
      </c>
      <c r="F4" s="20">
        <v>7393.2</v>
      </c>
      <c r="G4" s="20">
        <v>5432.7</v>
      </c>
    </row>
    <row r="5" spans="1:7" ht="16.5" thickBot="1" x14ac:dyDescent="0.3">
      <c r="A5" s="20" t="s">
        <v>22</v>
      </c>
      <c r="B5" s="20">
        <v>10709.9</v>
      </c>
      <c r="C5" s="20">
        <v>12426.3</v>
      </c>
      <c r="D5" s="20">
        <v>15141.9</v>
      </c>
      <c r="E5" s="20">
        <v>18637.599999999999</v>
      </c>
      <c r="F5" s="20">
        <v>20708.400000000001</v>
      </c>
      <c r="G5" s="20">
        <v>31145.7</v>
      </c>
    </row>
    <row r="6" spans="1:7" ht="16.5" thickBot="1" x14ac:dyDescent="0.3">
      <c r="A6" s="20" t="s">
        <v>23</v>
      </c>
      <c r="B6" s="20">
        <v>553.9</v>
      </c>
      <c r="C6" s="20">
        <v>949.1</v>
      </c>
      <c r="D6" s="20">
        <v>296.5</v>
      </c>
      <c r="E6" s="20">
        <v>4902.8</v>
      </c>
      <c r="F6" s="20">
        <v>5458.1</v>
      </c>
      <c r="G6" s="20">
        <v>5399.2</v>
      </c>
    </row>
    <row r="7" spans="1:7" ht="16.5" thickBot="1" x14ac:dyDescent="0.3">
      <c r="A7" s="20" t="s">
        <v>24</v>
      </c>
      <c r="B7" s="20">
        <v>15512.7</v>
      </c>
      <c r="C7" s="20">
        <v>12216.9</v>
      </c>
      <c r="D7" s="20">
        <v>47262.3</v>
      </c>
      <c r="E7" s="20">
        <v>49097.4</v>
      </c>
      <c r="F7" s="20">
        <v>62094.8</v>
      </c>
      <c r="G7" s="20">
        <v>42954.7</v>
      </c>
    </row>
    <row r="8" spans="1:7" ht="16.5" thickBot="1" x14ac:dyDescent="0.3">
      <c r="A8" s="20" t="s">
        <v>25</v>
      </c>
      <c r="B8" s="20">
        <v>94.3</v>
      </c>
      <c r="C8" s="20">
        <v>2202.5</v>
      </c>
      <c r="D8" s="20">
        <v>888.4</v>
      </c>
      <c r="E8" s="20">
        <v>2666.8</v>
      </c>
      <c r="F8" s="20">
        <v>844.4</v>
      </c>
      <c r="G8" s="20">
        <v>683.6</v>
      </c>
    </row>
    <row r="9" spans="1:7" ht="16.5" thickBot="1" x14ac:dyDescent="0.3">
      <c r="A9" s="20" t="s">
        <v>26</v>
      </c>
      <c r="B9" s="20">
        <v>3540.2</v>
      </c>
      <c r="C9" s="20">
        <v>3884.4</v>
      </c>
      <c r="D9" s="20">
        <v>3006.6</v>
      </c>
      <c r="E9" s="20">
        <v>2876.5</v>
      </c>
      <c r="F9" s="20">
        <v>4437.3999999999996</v>
      </c>
      <c r="G9" s="20">
        <v>3511.7</v>
      </c>
    </row>
    <row r="10" spans="1:7" ht="16.5" thickBot="1" x14ac:dyDescent="0.3">
      <c r="A10" s="20" t="s">
        <v>27</v>
      </c>
      <c r="B10" s="20">
        <v>26272.9</v>
      </c>
      <c r="C10" s="20">
        <v>30360.2</v>
      </c>
      <c r="D10" s="20">
        <v>38390.6</v>
      </c>
      <c r="E10" s="20">
        <v>42278.2</v>
      </c>
      <c r="F10" s="20">
        <v>49284.2</v>
      </c>
      <c r="G10" s="20">
        <v>51400.5</v>
      </c>
    </row>
    <row r="11" spans="1:7" ht="16.5" thickBot="1" x14ac:dyDescent="0.3">
      <c r="A11" s="20" t="s">
        <v>28</v>
      </c>
      <c r="B11" s="20">
        <v>15410.7</v>
      </c>
      <c r="C11" s="20">
        <v>24070.400000000001</v>
      </c>
      <c r="D11" s="20">
        <v>19866</v>
      </c>
      <c r="E11" s="20">
        <v>27474.9</v>
      </c>
      <c r="F11" s="20">
        <v>18654.7</v>
      </c>
      <c r="G11" s="20">
        <v>30606.1</v>
      </c>
    </row>
    <row r="12" spans="1:7" ht="16.5" thickBot="1" x14ac:dyDescent="0.3">
      <c r="A12" s="20" t="s">
        <v>29</v>
      </c>
      <c r="B12" s="20">
        <v>35489.800000000003</v>
      </c>
      <c r="C12" s="20">
        <v>46331.6</v>
      </c>
      <c r="D12" s="20">
        <v>45044.5</v>
      </c>
      <c r="E12" s="20">
        <v>33333.1</v>
      </c>
      <c r="F12" s="20">
        <v>45452.7</v>
      </c>
      <c r="G12" s="20">
        <v>55660.6</v>
      </c>
    </row>
    <row r="13" spans="1:7" ht="16.5" thickBot="1" x14ac:dyDescent="0.3">
      <c r="A13" s="20" t="s">
        <v>30</v>
      </c>
      <c r="B13" s="20">
        <v>6143.5</v>
      </c>
      <c r="C13" s="20">
        <v>9015.5</v>
      </c>
      <c r="D13" s="20">
        <v>12380.9</v>
      </c>
      <c r="E13" s="20">
        <v>6591.4</v>
      </c>
      <c r="F13" s="20">
        <v>7699.1</v>
      </c>
      <c r="G13" s="20">
        <v>9256.5</v>
      </c>
    </row>
    <row r="14" spans="1:7" ht="16.5" thickBot="1" x14ac:dyDescent="0.3">
      <c r="A14" s="20" t="s">
        <v>31</v>
      </c>
      <c r="B14" s="20">
        <v>2060.4</v>
      </c>
      <c r="C14" s="20">
        <v>6163</v>
      </c>
      <c r="D14" s="20">
        <v>2981.9</v>
      </c>
      <c r="E14" s="20">
        <v>9975.2000000000007</v>
      </c>
      <c r="F14" s="20">
        <v>10061</v>
      </c>
      <c r="G14" s="20">
        <v>4286.3</v>
      </c>
    </row>
    <row r="15" spans="1:7" ht="16.5" thickBot="1" x14ac:dyDescent="0.3">
      <c r="A15" s="20" t="s">
        <v>32</v>
      </c>
      <c r="B15" s="20">
        <v>1270.0999999999999</v>
      </c>
      <c r="C15" s="20">
        <v>8179.1</v>
      </c>
      <c r="D15" s="20">
        <v>3037.8</v>
      </c>
      <c r="E15" s="20">
        <v>13091.6</v>
      </c>
      <c r="F15" s="20">
        <v>8591.9</v>
      </c>
      <c r="G15" s="20">
        <v>3710</v>
      </c>
    </row>
    <row r="16" spans="1:7" ht="16.5" thickBot="1" x14ac:dyDescent="0.3">
      <c r="A16" s="20" t="s">
        <v>33</v>
      </c>
      <c r="B16" s="20">
        <v>9611.2999999999993</v>
      </c>
      <c r="C16" s="20">
        <v>6885.1</v>
      </c>
      <c r="D16" s="20">
        <v>10980.2</v>
      </c>
      <c r="E16" s="20">
        <v>25942</v>
      </c>
      <c r="F16" s="20">
        <v>21952</v>
      </c>
      <c r="G16" s="20">
        <v>25934</v>
      </c>
    </row>
    <row r="17" spans="1:7" ht="16.5" thickBot="1" x14ac:dyDescent="0.3">
      <c r="A17" s="20" t="s">
        <v>34</v>
      </c>
      <c r="B17" s="20">
        <v>921.8</v>
      </c>
      <c r="C17" s="20">
        <v>3345.7</v>
      </c>
      <c r="D17" s="20">
        <v>853.3</v>
      </c>
      <c r="E17" s="20">
        <v>1356.8</v>
      </c>
      <c r="F17" s="20">
        <v>4400.8999999999996</v>
      </c>
      <c r="G17" s="20">
        <v>2235.1999999999998</v>
      </c>
    </row>
    <row r="18" spans="1:7" ht="16.5" thickBot="1" x14ac:dyDescent="0.3">
      <c r="A18" s="20" t="s">
        <v>35</v>
      </c>
      <c r="B18" s="20">
        <v>1023.7</v>
      </c>
      <c r="C18" s="20">
        <v>2202</v>
      </c>
      <c r="D18" s="20">
        <v>1734.7</v>
      </c>
      <c r="E18" s="20">
        <v>3112.9</v>
      </c>
      <c r="F18" s="20">
        <v>2915.2</v>
      </c>
      <c r="G18" s="20">
        <v>1863.8</v>
      </c>
    </row>
    <row r="19" spans="1:7" ht="16.5" thickBot="1" x14ac:dyDescent="0.3">
      <c r="A19" s="20" t="s">
        <v>36</v>
      </c>
      <c r="B19" s="20">
        <v>612.1</v>
      </c>
      <c r="C19" s="20">
        <v>492.5</v>
      </c>
      <c r="D19" s="20">
        <v>1398</v>
      </c>
      <c r="E19" s="20">
        <v>4386</v>
      </c>
      <c r="F19" s="20">
        <v>5656.4</v>
      </c>
      <c r="G19" s="20">
        <v>14249</v>
      </c>
    </row>
    <row r="20" spans="1:7" ht="16.5" thickBot="1" x14ac:dyDescent="0.3">
      <c r="A20" s="20" t="s">
        <v>37</v>
      </c>
      <c r="B20" s="20">
        <v>1102.3</v>
      </c>
      <c r="C20" s="20">
        <v>6031.8</v>
      </c>
      <c r="D20" s="20">
        <v>7014.8</v>
      </c>
      <c r="E20" s="20">
        <v>12314.7</v>
      </c>
      <c r="F20" s="20">
        <v>2428.9</v>
      </c>
      <c r="G20" s="20">
        <v>7120.5</v>
      </c>
    </row>
    <row r="21" spans="1:7" ht="16.5" thickBot="1" x14ac:dyDescent="0.3">
      <c r="A21" s="20" t="s">
        <v>38</v>
      </c>
      <c r="B21" s="20">
        <v>0</v>
      </c>
      <c r="C21" s="20">
        <v>11.4</v>
      </c>
      <c r="D21" s="20">
        <v>52.3</v>
      </c>
      <c r="E21" s="20">
        <v>1013.5</v>
      </c>
      <c r="F21" s="20">
        <v>283.2</v>
      </c>
      <c r="G21" s="20">
        <v>474.8</v>
      </c>
    </row>
    <row r="22" spans="1:7" ht="16.5" thickBot="1" x14ac:dyDescent="0.3">
      <c r="A22" s="20" t="s">
        <v>39</v>
      </c>
      <c r="B22" s="20">
        <v>48.2</v>
      </c>
      <c r="C22" s="20">
        <v>8.8000000000000007</v>
      </c>
      <c r="D22" s="20">
        <v>1150.5999999999999</v>
      </c>
      <c r="E22" s="20">
        <v>2276.3000000000002</v>
      </c>
      <c r="F22" s="20">
        <v>682.7</v>
      </c>
      <c r="G22" s="20">
        <v>662.1</v>
      </c>
    </row>
    <row r="23" spans="1:7" ht="16.5" thickBot="1" x14ac:dyDescent="0.3">
      <c r="A23" s="20" t="s">
        <v>40</v>
      </c>
      <c r="B23" s="20">
        <v>347.8</v>
      </c>
      <c r="C23" s="20">
        <v>1342.8</v>
      </c>
      <c r="D23" s="20">
        <v>5413.5</v>
      </c>
      <c r="E23" s="20">
        <v>4135.1000000000004</v>
      </c>
      <c r="F23" s="20">
        <v>3519</v>
      </c>
      <c r="G23" s="20">
        <v>6582.4</v>
      </c>
    </row>
    <row r="24" spans="1:7" ht="16.5" thickBot="1" x14ac:dyDescent="0.3">
      <c r="A24" s="20" t="s">
        <v>41</v>
      </c>
      <c r="B24" s="20">
        <v>1295.7</v>
      </c>
      <c r="C24" s="20">
        <v>822.2</v>
      </c>
      <c r="D24" s="20">
        <v>1081.9000000000001</v>
      </c>
      <c r="E24" s="20">
        <v>4246.1000000000004</v>
      </c>
      <c r="F24" s="20">
        <v>3752.6</v>
      </c>
      <c r="G24" s="20">
        <v>3028.5</v>
      </c>
    </row>
    <row r="25" spans="1:7" ht="16.5" thickBot="1" x14ac:dyDescent="0.3">
      <c r="A25" s="20" t="s">
        <v>42</v>
      </c>
      <c r="B25" s="20">
        <v>1275.2</v>
      </c>
      <c r="C25" s="20">
        <v>220.5</v>
      </c>
      <c r="D25" s="20">
        <v>1217.9000000000001</v>
      </c>
      <c r="E25" s="20">
        <v>104.6</v>
      </c>
      <c r="F25" s="20">
        <v>567.70000000000005</v>
      </c>
      <c r="G25" s="20">
        <v>2722.2</v>
      </c>
    </row>
    <row r="26" spans="1:7" ht="16.5" thickBot="1" x14ac:dyDescent="0.3">
      <c r="A26" s="20" t="s">
        <v>43</v>
      </c>
      <c r="B26" s="20">
        <v>63.4</v>
      </c>
      <c r="C26" s="20">
        <v>10.6</v>
      </c>
      <c r="D26" s="20">
        <v>59.2</v>
      </c>
      <c r="E26" s="20">
        <v>50.9</v>
      </c>
      <c r="F26" s="20">
        <v>380.2</v>
      </c>
      <c r="G26" s="20">
        <v>1925.4</v>
      </c>
    </row>
    <row r="27" spans="1:7" ht="16.5" thickBot="1" x14ac:dyDescent="0.3">
      <c r="A27" s="20" t="s">
        <v>44</v>
      </c>
      <c r="B27" s="20">
        <v>9943</v>
      </c>
      <c r="C27" s="20">
        <v>6613.7</v>
      </c>
      <c r="D27" s="20">
        <v>10829.8</v>
      </c>
      <c r="E27" s="20">
        <v>9056.4</v>
      </c>
      <c r="F27" s="20">
        <v>26292.2</v>
      </c>
      <c r="G27" s="20">
        <v>34117.800000000003</v>
      </c>
    </row>
    <row r="28" spans="1:7" ht="16.5" thickBot="1" x14ac:dyDescent="0.3">
      <c r="A28" s="20" t="s">
        <v>45</v>
      </c>
      <c r="B28" s="20">
        <v>1103.8</v>
      </c>
      <c r="C28" s="20">
        <v>84.1</v>
      </c>
      <c r="D28" s="20">
        <v>660.2</v>
      </c>
      <c r="E28" s="20">
        <v>3144.2</v>
      </c>
      <c r="F28" s="20">
        <v>1187.2</v>
      </c>
      <c r="G28" s="20">
        <v>252.9</v>
      </c>
    </row>
    <row r="29" spans="1:7" ht="16.5" thickBot="1" x14ac:dyDescent="0.3">
      <c r="A29" s="20" t="s">
        <v>46</v>
      </c>
      <c r="B29" s="20">
        <v>9215.2999999999993</v>
      </c>
      <c r="C29" s="20">
        <v>3334.6</v>
      </c>
      <c r="D29" s="20">
        <v>1969.4</v>
      </c>
      <c r="E29" s="20">
        <v>3275.9</v>
      </c>
      <c r="F29" s="20">
        <v>5672.6</v>
      </c>
      <c r="G29" s="20">
        <v>9142</v>
      </c>
    </row>
    <row r="30" spans="1:7" ht="16.5" thickBot="1" x14ac:dyDescent="0.3">
      <c r="A30" s="20" t="s">
        <v>47</v>
      </c>
      <c r="B30" s="20">
        <v>968.4</v>
      </c>
      <c r="C30" s="20">
        <v>1081.2</v>
      </c>
      <c r="D30" s="20">
        <v>1929.7</v>
      </c>
      <c r="E30" s="20">
        <v>8488.9</v>
      </c>
      <c r="F30" s="20">
        <v>4438.8</v>
      </c>
      <c r="G30" s="20">
        <v>5261.3</v>
      </c>
    </row>
    <row r="31" spans="1:7" ht="16.5" thickBot="1" x14ac:dyDescent="0.3">
      <c r="A31" s="20" t="s">
        <v>48</v>
      </c>
      <c r="B31" s="20">
        <v>2015.4</v>
      </c>
      <c r="C31" s="20">
        <v>1794.2</v>
      </c>
      <c r="D31" s="20">
        <v>3148.7</v>
      </c>
      <c r="E31" s="20">
        <v>1603.4</v>
      </c>
      <c r="F31" s="20">
        <v>3827.1</v>
      </c>
      <c r="G31" s="20">
        <v>2865.7</v>
      </c>
    </row>
    <row r="32" spans="1:7" ht="16.5" thickBot="1" x14ac:dyDescent="0.3">
      <c r="A32" s="20" t="s">
        <v>49</v>
      </c>
      <c r="B32" s="20">
        <v>270.60000000000002</v>
      </c>
      <c r="C32" s="20">
        <v>5069.6000000000004</v>
      </c>
      <c r="D32" s="20">
        <v>1488.2</v>
      </c>
      <c r="E32" s="20">
        <v>4320.1000000000004</v>
      </c>
      <c r="F32" s="20">
        <v>8259.6</v>
      </c>
      <c r="G32" s="20">
        <v>3005.6</v>
      </c>
    </row>
    <row r="33" spans="1:7" ht="16.5" thickBot="1" x14ac:dyDescent="0.3">
      <c r="A33" s="20" t="s">
        <v>50</v>
      </c>
      <c r="B33" s="20">
        <v>1552.5</v>
      </c>
      <c r="C33" s="20">
        <v>3795.6</v>
      </c>
      <c r="D33" s="20">
        <v>1517</v>
      </c>
      <c r="E33" s="20">
        <v>2309.4</v>
      </c>
      <c r="F33" s="20">
        <v>3026.6</v>
      </c>
      <c r="G33" s="20">
        <v>3106.2</v>
      </c>
    </row>
    <row r="34" spans="1:7" ht="16.5" thickBot="1" x14ac:dyDescent="0.3">
      <c r="A34" s="20" t="s">
        <v>51</v>
      </c>
      <c r="B34" s="20">
        <v>10944.1</v>
      </c>
      <c r="C34" s="20">
        <v>8534.1</v>
      </c>
      <c r="D34" s="20">
        <v>8200.2000000000007</v>
      </c>
      <c r="E34" s="20">
        <v>9519.7999999999993</v>
      </c>
      <c r="F34" s="20">
        <v>16921.099999999999</v>
      </c>
      <c r="G34" s="20">
        <v>15824.5</v>
      </c>
    </row>
    <row r="35" spans="1:7" ht="16.5" thickBot="1" x14ac:dyDescent="0.3">
      <c r="A35" s="20" t="s">
        <v>52</v>
      </c>
      <c r="B35" s="20">
        <v>4287.3999999999996</v>
      </c>
      <c r="C35" s="20">
        <v>4864.2</v>
      </c>
      <c r="D35" s="20">
        <v>11683.6</v>
      </c>
      <c r="E35" s="20">
        <v>8371.7999999999993</v>
      </c>
      <c r="F35" s="20">
        <v>19749</v>
      </c>
      <c r="G35" s="20">
        <v>18189.5</v>
      </c>
    </row>
    <row r="36" spans="1:7" ht="16.5" thickBot="1" x14ac:dyDescent="0.3">
      <c r="A36" s="20" t="s">
        <v>53</v>
      </c>
      <c r="B36" s="20">
        <v>362.4</v>
      </c>
      <c r="C36" s="20">
        <v>948.6</v>
      </c>
      <c r="D36" s="20">
        <v>294.60000000000002</v>
      </c>
      <c r="E36" s="20">
        <v>6131.7</v>
      </c>
      <c r="F36" s="20">
        <v>6298.8</v>
      </c>
      <c r="G36" s="20">
        <v>2683.4</v>
      </c>
    </row>
    <row r="37" spans="1:7" ht="15.75" thickBot="1" x14ac:dyDescent="0.3"/>
    <row r="38" spans="1:7" ht="16.5" thickBot="1" x14ac:dyDescent="0.3">
      <c r="A38" s="6" t="s">
        <v>20</v>
      </c>
      <c r="B38" s="2">
        <v>2015</v>
      </c>
      <c r="C38" s="2">
        <f>IF(A38=$A$3,HLOOKUP(B38,$A$2:$G$36,2,0))</f>
        <v>4192.3999999999996</v>
      </c>
    </row>
    <row r="39" spans="1:7" ht="16.5" thickBot="1" x14ac:dyDescent="0.3">
      <c r="A39" s="6" t="s">
        <v>20</v>
      </c>
      <c r="B39" s="2">
        <v>2016</v>
      </c>
      <c r="C39" s="2">
        <f>IF(A39=$A$3,HLOOKUP(B39,$A$2:$G$36,2,0))</f>
        <v>2456.1</v>
      </c>
    </row>
    <row r="40" spans="1:7" ht="16.5" thickBot="1" x14ac:dyDescent="0.3">
      <c r="A40" s="6" t="s">
        <v>20</v>
      </c>
      <c r="B40" s="2">
        <v>2017</v>
      </c>
      <c r="C40" s="2">
        <f t="shared" ref="C40:C43" si="0">IF(A40=$A$3,HLOOKUP(B40,$A$2:$G$36,2,0))</f>
        <v>782.8</v>
      </c>
    </row>
    <row r="41" spans="1:7" ht="16.5" thickBot="1" x14ac:dyDescent="0.3">
      <c r="A41" s="6" t="s">
        <v>20</v>
      </c>
      <c r="B41" s="2">
        <v>2018</v>
      </c>
      <c r="C41" s="2">
        <f t="shared" si="0"/>
        <v>970</v>
      </c>
    </row>
    <row r="42" spans="1:7" ht="16.5" thickBot="1" x14ac:dyDescent="0.3">
      <c r="A42" s="6" t="s">
        <v>20</v>
      </c>
      <c r="B42" s="2">
        <v>2019</v>
      </c>
      <c r="C42" s="2">
        <f t="shared" si="0"/>
        <v>3606.9</v>
      </c>
    </row>
    <row r="43" spans="1:7" ht="16.5" thickBot="1" x14ac:dyDescent="0.3">
      <c r="A43" s="6" t="s">
        <v>20</v>
      </c>
      <c r="B43" s="2">
        <v>2020</v>
      </c>
      <c r="C43" s="2">
        <f t="shared" si="0"/>
        <v>8241.1</v>
      </c>
    </row>
    <row r="44" spans="1:7" ht="16.5" thickBot="1" x14ac:dyDescent="0.3">
      <c r="A44" s="6" t="s">
        <v>21</v>
      </c>
      <c r="B44" s="2">
        <v>2015</v>
      </c>
      <c r="C44" s="2">
        <f>IF(A44=$A$4,HLOOKUP(B44,$A$2:$G$36,3,0))</f>
        <v>1250.4000000000001</v>
      </c>
    </row>
    <row r="45" spans="1:7" ht="16.5" thickBot="1" x14ac:dyDescent="0.3">
      <c r="A45" s="6" t="s">
        <v>21</v>
      </c>
      <c r="B45" s="2">
        <v>2016</v>
      </c>
      <c r="C45" s="2">
        <f t="shared" ref="C45:C48" si="1">IF(A45=$A$4,HLOOKUP(B45,$A$2:$G$36,3,0))</f>
        <v>482.3</v>
      </c>
    </row>
    <row r="46" spans="1:7" ht="16.5" thickBot="1" x14ac:dyDescent="0.3">
      <c r="A46" s="6" t="s">
        <v>21</v>
      </c>
      <c r="B46" s="2">
        <v>2017</v>
      </c>
      <c r="C46" s="2">
        <f t="shared" si="1"/>
        <v>592.5</v>
      </c>
    </row>
    <row r="47" spans="1:7" ht="16.5" thickBot="1" x14ac:dyDescent="0.3">
      <c r="A47" s="6" t="s">
        <v>21</v>
      </c>
      <c r="B47" s="2">
        <v>2018</v>
      </c>
      <c r="C47" s="2">
        <f t="shared" si="1"/>
        <v>1548.8</v>
      </c>
    </row>
    <row r="48" spans="1:7" ht="16.5" thickBot="1" x14ac:dyDescent="0.3">
      <c r="A48" s="6" t="s">
        <v>21</v>
      </c>
      <c r="B48" s="2">
        <v>2019</v>
      </c>
      <c r="C48" s="2">
        <f t="shared" si="1"/>
        <v>7393.2</v>
      </c>
    </row>
    <row r="49" spans="1:3" ht="16.5" thickBot="1" x14ac:dyDescent="0.3">
      <c r="A49" s="6" t="s">
        <v>21</v>
      </c>
      <c r="B49" s="2">
        <v>2020</v>
      </c>
      <c r="C49" s="2">
        <f>IF(A49=$A$4,HLOOKUP(B49,$A$2:$G$36,3,0))</f>
        <v>5432.7</v>
      </c>
    </row>
    <row r="50" spans="1:3" ht="16.5" thickBot="1" x14ac:dyDescent="0.3">
      <c r="A50" s="6" t="s">
        <v>22</v>
      </c>
      <c r="B50" s="2">
        <v>2015</v>
      </c>
      <c r="C50" s="2">
        <f>IF(A50=$A$5,HLOOKUP(B50,$A$2:$G$36,4,0))</f>
        <v>10709.9</v>
      </c>
    </row>
    <row r="51" spans="1:3" ht="16.5" thickBot="1" x14ac:dyDescent="0.3">
      <c r="A51" s="6" t="s">
        <v>22</v>
      </c>
      <c r="B51" s="2">
        <v>2016</v>
      </c>
      <c r="C51" s="2">
        <f t="shared" ref="C51:C55" si="2">IF(A51=$A$5,HLOOKUP(B51,$A$2:$G$36,4,0))</f>
        <v>12426.3</v>
      </c>
    </row>
    <row r="52" spans="1:3" ht="16.5" thickBot="1" x14ac:dyDescent="0.3">
      <c r="A52" s="6" t="s">
        <v>22</v>
      </c>
      <c r="B52" s="2">
        <v>2017</v>
      </c>
      <c r="C52" s="2">
        <f t="shared" si="2"/>
        <v>15141.9</v>
      </c>
    </row>
    <row r="53" spans="1:3" ht="16.5" thickBot="1" x14ac:dyDescent="0.3">
      <c r="A53" s="6" t="s">
        <v>22</v>
      </c>
      <c r="B53" s="2">
        <v>2018</v>
      </c>
      <c r="C53" s="2">
        <f t="shared" si="2"/>
        <v>18637.599999999999</v>
      </c>
    </row>
    <row r="54" spans="1:3" ht="16.5" thickBot="1" x14ac:dyDescent="0.3">
      <c r="A54" s="6" t="s">
        <v>22</v>
      </c>
      <c r="B54" s="2">
        <v>2019</v>
      </c>
      <c r="C54" s="2">
        <f t="shared" si="2"/>
        <v>20708.400000000001</v>
      </c>
    </row>
    <row r="55" spans="1:3" ht="16.5" thickBot="1" x14ac:dyDescent="0.3">
      <c r="A55" s="6" t="s">
        <v>22</v>
      </c>
      <c r="B55" s="2">
        <v>2020</v>
      </c>
      <c r="C55" s="2">
        <f t="shared" si="2"/>
        <v>31145.7</v>
      </c>
    </row>
    <row r="56" spans="1:3" ht="16.5" thickBot="1" x14ac:dyDescent="0.3">
      <c r="A56" s="6" t="s">
        <v>23</v>
      </c>
      <c r="B56" s="2">
        <v>2015</v>
      </c>
      <c r="C56" s="2">
        <f>IF(A56=$A$6,HLOOKUP(B56,$A$2:$G$36,5,0))</f>
        <v>553.9</v>
      </c>
    </row>
    <row r="57" spans="1:3" ht="16.5" thickBot="1" x14ac:dyDescent="0.3">
      <c r="A57" s="6" t="s">
        <v>23</v>
      </c>
      <c r="B57" s="2">
        <v>2016</v>
      </c>
      <c r="C57" s="2">
        <f t="shared" ref="C57:C61" si="3">IF(A57=$A$6,HLOOKUP(B57,$A$2:$G$36,5,0))</f>
        <v>949.1</v>
      </c>
    </row>
    <row r="58" spans="1:3" ht="16.5" thickBot="1" x14ac:dyDescent="0.3">
      <c r="A58" s="6" t="s">
        <v>23</v>
      </c>
      <c r="B58" s="2">
        <v>2017</v>
      </c>
      <c r="C58" s="2">
        <f t="shared" si="3"/>
        <v>296.5</v>
      </c>
    </row>
    <row r="59" spans="1:3" ht="16.5" thickBot="1" x14ac:dyDescent="0.3">
      <c r="A59" s="6" t="s">
        <v>23</v>
      </c>
      <c r="B59" s="2">
        <v>2018</v>
      </c>
      <c r="C59" s="2">
        <f t="shared" si="3"/>
        <v>4902.8</v>
      </c>
    </row>
    <row r="60" spans="1:3" ht="16.5" thickBot="1" x14ac:dyDescent="0.3">
      <c r="A60" s="6" t="s">
        <v>23</v>
      </c>
      <c r="B60" s="2">
        <v>2019</v>
      </c>
      <c r="C60" s="2">
        <f t="shared" si="3"/>
        <v>5458.1</v>
      </c>
    </row>
    <row r="61" spans="1:3" ht="16.5" thickBot="1" x14ac:dyDescent="0.3">
      <c r="A61" s="6" t="s">
        <v>23</v>
      </c>
      <c r="B61" s="2">
        <v>2020</v>
      </c>
      <c r="C61" s="2">
        <f t="shared" si="3"/>
        <v>5399.2</v>
      </c>
    </row>
    <row r="62" spans="1:3" ht="16.5" thickBot="1" x14ac:dyDescent="0.3">
      <c r="A62" s="6" t="s">
        <v>24</v>
      </c>
      <c r="B62" s="2">
        <v>2015</v>
      </c>
      <c r="C62" s="2">
        <f>IF(A62=$A$7,HLOOKUP(B62,$A$2:$G$36,6,0))</f>
        <v>15512.7</v>
      </c>
    </row>
    <row r="63" spans="1:3" ht="16.5" thickBot="1" x14ac:dyDescent="0.3">
      <c r="A63" s="6" t="s">
        <v>24</v>
      </c>
      <c r="B63" s="2">
        <v>2016</v>
      </c>
      <c r="C63" s="2">
        <f t="shared" ref="C63:C67" si="4">IF(A63=$A$7,HLOOKUP(B63,$A$2:$G$36,6,0))</f>
        <v>12216.9</v>
      </c>
    </row>
    <row r="64" spans="1:3" ht="16.5" thickBot="1" x14ac:dyDescent="0.3">
      <c r="A64" s="6" t="s">
        <v>24</v>
      </c>
      <c r="B64" s="2">
        <v>2017</v>
      </c>
      <c r="C64" s="2">
        <f t="shared" si="4"/>
        <v>47262.3</v>
      </c>
    </row>
    <row r="65" spans="1:3" ht="16.5" thickBot="1" x14ac:dyDescent="0.3">
      <c r="A65" s="6" t="s">
        <v>24</v>
      </c>
      <c r="B65" s="2">
        <v>2018</v>
      </c>
      <c r="C65" s="2">
        <f t="shared" si="4"/>
        <v>49097.4</v>
      </c>
    </row>
    <row r="66" spans="1:3" ht="16.5" thickBot="1" x14ac:dyDescent="0.3">
      <c r="A66" s="6" t="s">
        <v>24</v>
      </c>
      <c r="B66" s="2">
        <v>2019</v>
      </c>
      <c r="C66" s="2">
        <f t="shared" si="4"/>
        <v>62094.8</v>
      </c>
    </row>
    <row r="67" spans="1:3" ht="16.5" thickBot="1" x14ac:dyDescent="0.3">
      <c r="A67" s="6" t="s">
        <v>24</v>
      </c>
      <c r="B67" s="2">
        <v>2020</v>
      </c>
      <c r="C67" s="2">
        <f t="shared" si="4"/>
        <v>42954.7</v>
      </c>
    </row>
    <row r="68" spans="1:3" ht="16.5" thickBot="1" x14ac:dyDescent="0.3">
      <c r="A68" s="6" t="s">
        <v>25</v>
      </c>
      <c r="B68" s="2">
        <v>2015</v>
      </c>
      <c r="C68" s="2">
        <f>IF(A68=$A$8,HLOOKUP(B68,$A$2:$G$36,7,0))</f>
        <v>94.3</v>
      </c>
    </row>
    <row r="69" spans="1:3" ht="16.5" thickBot="1" x14ac:dyDescent="0.3">
      <c r="A69" s="6" t="s">
        <v>25</v>
      </c>
      <c r="B69" s="2">
        <v>2016</v>
      </c>
      <c r="C69" s="2">
        <f t="shared" ref="C69:C73" si="5">IF(A69=$A$8,HLOOKUP(B69,$A$2:$G$36,7,0))</f>
        <v>2202.5</v>
      </c>
    </row>
    <row r="70" spans="1:3" ht="16.5" thickBot="1" x14ac:dyDescent="0.3">
      <c r="A70" s="6" t="s">
        <v>25</v>
      </c>
      <c r="B70" s="2">
        <v>2017</v>
      </c>
      <c r="C70" s="2">
        <f t="shared" si="5"/>
        <v>888.4</v>
      </c>
    </row>
    <row r="71" spans="1:3" ht="16.5" thickBot="1" x14ac:dyDescent="0.3">
      <c r="A71" s="6" t="s">
        <v>25</v>
      </c>
      <c r="B71" s="2">
        <v>2018</v>
      </c>
      <c r="C71" s="2">
        <f t="shared" si="5"/>
        <v>2666.8</v>
      </c>
    </row>
    <row r="72" spans="1:3" ht="16.5" thickBot="1" x14ac:dyDescent="0.3">
      <c r="A72" s="6" t="s">
        <v>25</v>
      </c>
      <c r="B72" s="2">
        <v>2019</v>
      </c>
      <c r="C72" s="2">
        <f t="shared" si="5"/>
        <v>844.4</v>
      </c>
    </row>
    <row r="73" spans="1:3" ht="16.5" thickBot="1" x14ac:dyDescent="0.3">
      <c r="A73" s="6" t="s">
        <v>25</v>
      </c>
      <c r="B73" s="2">
        <v>2020</v>
      </c>
      <c r="C73" s="2">
        <f t="shared" si="5"/>
        <v>683.6</v>
      </c>
    </row>
    <row r="74" spans="1:3" ht="16.5" thickBot="1" x14ac:dyDescent="0.3">
      <c r="A74" s="6" t="s">
        <v>26</v>
      </c>
      <c r="B74" s="2">
        <v>2015</v>
      </c>
      <c r="C74" s="2">
        <f>IF(A74=$A$9,HLOOKUP(B74,$A$2:$G$36,8,0))</f>
        <v>3540.2</v>
      </c>
    </row>
    <row r="75" spans="1:3" ht="16.5" thickBot="1" x14ac:dyDescent="0.3">
      <c r="A75" s="6" t="s">
        <v>26</v>
      </c>
      <c r="B75" s="2">
        <v>2016</v>
      </c>
      <c r="C75" s="2">
        <f t="shared" ref="C75:C79" si="6">IF(A75=$A$9,HLOOKUP(B75,$A$2:$G$36,8,0))</f>
        <v>3884.4</v>
      </c>
    </row>
    <row r="76" spans="1:3" ht="16.5" thickBot="1" x14ac:dyDescent="0.3">
      <c r="A76" s="6" t="s">
        <v>26</v>
      </c>
      <c r="B76" s="2">
        <v>2017</v>
      </c>
      <c r="C76" s="2">
        <f t="shared" si="6"/>
        <v>3006.6</v>
      </c>
    </row>
    <row r="77" spans="1:3" ht="16.5" thickBot="1" x14ac:dyDescent="0.3">
      <c r="A77" s="6" t="s">
        <v>26</v>
      </c>
      <c r="B77" s="2">
        <v>2018</v>
      </c>
      <c r="C77" s="2">
        <f t="shared" si="6"/>
        <v>2876.5</v>
      </c>
    </row>
    <row r="78" spans="1:3" ht="16.5" thickBot="1" x14ac:dyDescent="0.3">
      <c r="A78" s="6" t="s">
        <v>26</v>
      </c>
      <c r="B78" s="2">
        <v>2019</v>
      </c>
      <c r="C78" s="2">
        <f t="shared" si="6"/>
        <v>4437.3999999999996</v>
      </c>
    </row>
    <row r="79" spans="1:3" ht="16.5" thickBot="1" x14ac:dyDescent="0.3">
      <c r="A79" s="6" t="s">
        <v>26</v>
      </c>
      <c r="B79" s="2">
        <v>2020</v>
      </c>
      <c r="C79" s="2">
        <f t="shared" si="6"/>
        <v>3511.7</v>
      </c>
    </row>
    <row r="80" spans="1:3" ht="16.5" thickBot="1" x14ac:dyDescent="0.3">
      <c r="A80" s="6" t="s">
        <v>27</v>
      </c>
      <c r="B80" s="2">
        <v>2015</v>
      </c>
      <c r="C80" s="2">
        <f>IF(A80=$A$10,HLOOKUP(B80,$A$2:$G$36,9,0))</f>
        <v>26272.9</v>
      </c>
    </row>
    <row r="81" spans="1:3" ht="16.5" thickBot="1" x14ac:dyDescent="0.3">
      <c r="A81" s="6" t="s">
        <v>27</v>
      </c>
      <c r="B81" s="2">
        <v>2016</v>
      </c>
      <c r="C81" s="2">
        <f t="shared" ref="C81:C85" si="7">IF(A81=$A$10,HLOOKUP(B81,$A$2:$G$36,9,0))</f>
        <v>30360.2</v>
      </c>
    </row>
    <row r="82" spans="1:3" ht="16.5" thickBot="1" x14ac:dyDescent="0.3">
      <c r="A82" s="6" t="s">
        <v>27</v>
      </c>
      <c r="B82" s="2">
        <v>2017</v>
      </c>
      <c r="C82" s="2">
        <f t="shared" si="7"/>
        <v>38390.6</v>
      </c>
    </row>
    <row r="83" spans="1:3" ht="16.5" thickBot="1" x14ac:dyDescent="0.3">
      <c r="A83" s="6" t="s">
        <v>27</v>
      </c>
      <c r="B83" s="2">
        <v>2018</v>
      </c>
      <c r="C83" s="2">
        <f t="shared" si="7"/>
        <v>42278.2</v>
      </c>
    </row>
    <row r="84" spans="1:3" ht="16.5" thickBot="1" x14ac:dyDescent="0.3">
      <c r="A84" s="6" t="s">
        <v>27</v>
      </c>
      <c r="B84" s="2">
        <v>2019</v>
      </c>
      <c r="C84" s="2">
        <f t="shared" si="7"/>
        <v>49284.2</v>
      </c>
    </row>
    <row r="85" spans="1:3" ht="16.5" thickBot="1" x14ac:dyDescent="0.3">
      <c r="A85" s="6" t="s">
        <v>27</v>
      </c>
      <c r="B85" s="2">
        <v>2020</v>
      </c>
      <c r="C85" s="2">
        <f t="shared" si="7"/>
        <v>51400.5</v>
      </c>
    </row>
    <row r="86" spans="1:3" ht="16.5" thickBot="1" x14ac:dyDescent="0.3">
      <c r="A86" s="6" t="s">
        <v>28</v>
      </c>
      <c r="B86" s="2">
        <v>2015</v>
      </c>
      <c r="C86" s="2">
        <f>IF(A86=$A$11,HLOOKUP(B86,$A$2:$G$36,10,0))</f>
        <v>15410.7</v>
      </c>
    </row>
    <row r="87" spans="1:3" ht="16.5" thickBot="1" x14ac:dyDescent="0.3">
      <c r="A87" s="6" t="s">
        <v>28</v>
      </c>
      <c r="B87" s="2">
        <v>2016</v>
      </c>
      <c r="C87" s="2">
        <f t="shared" ref="C87:C91" si="8">IF(A87=$A$11,HLOOKUP(B87,$A$2:$G$36,10,0))</f>
        <v>24070.400000000001</v>
      </c>
    </row>
    <row r="88" spans="1:3" ht="16.5" thickBot="1" x14ac:dyDescent="0.3">
      <c r="A88" s="6" t="s">
        <v>28</v>
      </c>
      <c r="B88" s="2">
        <v>2017</v>
      </c>
      <c r="C88" s="2">
        <f t="shared" si="8"/>
        <v>19866</v>
      </c>
    </row>
    <row r="89" spans="1:3" ht="16.5" thickBot="1" x14ac:dyDescent="0.3">
      <c r="A89" s="6" t="s">
        <v>28</v>
      </c>
      <c r="B89" s="2">
        <v>2018</v>
      </c>
      <c r="C89" s="2">
        <f t="shared" si="8"/>
        <v>27474.9</v>
      </c>
    </row>
    <row r="90" spans="1:3" ht="16.5" thickBot="1" x14ac:dyDescent="0.3">
      <c r="A90" s="6" t="s">
        <v>28</v>
      </c>
      <c r="B90" s="2">
        <v>2019</v>
      </c>
      <c r="C90" s="2">
        <f t="shared" si="8"/>
        <v>18654.7</v>
      </c>
    </row>
    <row r="91" spans="1:3" ht="16.5" thickBot="1" x14ac:dyDescent="0.3">
      <c r="A91" s="6" t="s">
        <v>28</v>
      </c>
      <c r="B91" s="2">
        <v>2020</v>
      </c>
      <c r="C91" s="2">
        <f t="shared" si="8"/>
        <v>30606.1</v>
      </c>
    </row>
    <row r="92" spans="1:3" ht="16.5" thickBot="1" x14ac:dyDescent="0.3">
      <c r="A92" s="6" t="s">
        <v>29</v>
      </c>
      <c r="B92" s="2">
        <v>2015</v>
      </c>
      <c r="C92" s="2">
        <f>IF(A92=$A$12,HLOOKUP(B92,$A$2:$G$36,11,0))</f>
        <v>35489.800000000003</v>
      </c>
    </row>
    <row r="93" spans="1:3" ht="16.5" thickBot="1" x14ac:dyDescent="0.3">
      <c r="A93" s="6" t="s">
        <v>29</v>
      </c>
      <c r="B93" s="2">
        <v>2016</v>
      </c>
      <c r="C93" s="2">
        <f t="shared" ref="C93:C97" si="9">IF(A93=$A$12,HLOOKUP(B93,$A$2:$G$36,11,0))</f>
        <v>46331.6</v>
      </c>
    </row>
    <row r="94" spans="1:3" ht="16.5" thickBot="1" x14ac:dyDescent="0.3">
      <c r="A94" s="6" t="s">
        <v>29</v>
      </c>
      <c r="B94" s="2">
        <v>2017</v>
      </c>
      <c r="C94" s="2">
        <f t="shared" si="9"/>
        <v>45044.5</v>
      </c>
    </row>
    <row r="95" spans="1:3" ht="16.5" thickBot="1" x14ac:dyDescent="0.3">
      <c r="A95" s="6" t="s">
        <v>29</v>
      </c>
      <c r="B95" s="2">
        <v>2018</v>
      </c>
      <c r="C95" s="2">
        <f t="shared" si="9"/>
        <v>33333.1</v>
      </c>
    </row>
    <row r="96" spans="1:3" ht="16.5" thickBot="1" x14ac:dyDescent="0.3">
      <c r="A96" s="6" t="s">
        <v>29</v>
      </c>
      <c r="B96" s="2">
        <v>2019</v>
      </c>
      <c r="C96" s="2">
        <f t="shared" si="9"/>
        <v>45452.7</v>
      </c>
    </row>
    <row r="97" spans="1:3" ht="16.5" thickBot="1" x14ac:dyDescent="0.3">
      <c r="A97" s="6" t="s">
        <v>29</v>
      </c>
      <c r="B97" s="2">
        <v>2020</v>
      </c>
      <c r="C97" s="2">
        <f t="shared" si="9"/>
        <v>55660.6</v>
      </c>
    </row>
    <row r="98" spans="1:3" ht="16.5" thickBot="1" x14ac:dyDescent="0.3">
      <c r="A98" s="6" t="s">
        <v>30</v>
      </c>
      <c r="B98" s="2">
        <v>2015</v>
      </c>
      <c r="C98" s="2">
        <f>IF(A98=$A$13,HLOOKUP(B98,$A$2:$G$36,12,0))</f>
        <v>6143.5</v>
      </c>
    </row>
    <row r="99" spans="1:3" ht="16.5" thickBot="1" x14ac:dyDescent="0.3">
      <c r="A99" s="6" t="s">
        <v>30</v>
      </c>
      <c r="B99" s="2">
        <v>2016</v>
      </c>
      <c r="C99" s="2">
        <f t="shared" ref="C99:C103" si="10">IF(A99=$A$13,HLOOKUP(B99,$A$2:$G$36,12,0))</f>
        <v>9015.5</v>
      </c>
    </row>
    <row r="100" spans="1:3" ht="16.5" thickBot="1" x14ac:dyDescent="0.3">
      <c r="A100" s="6" t="s">
        <v>30</v>
      </c>
      <c r="B100" s="2">
        <v>2017</v>
      </c>
      <c r="C100" s="2">
        <f t="shared" si="10"/>
        <v>12380.9</v>
      </c>
    </row>
    <row r="101" spans="1:3" ht="16.5" thickBot="1" x14ac:dyDescent="0.3">
      <c r="A101" s="6" t="s">
        <v>30</v>
      </c>
      <c r="B101" s="2">
        <v>2018</v>
      </c>
      <c r="C101" s="2">
        <f t="shared" si="10"/>
        <v>6591.4</v>
      </c>
    </row>
    <row r="102" spans="1:3" ht="16.5" thickBot="1" x14ac:dyDescent="0.3">
      <c r="A102" s="6" t="s">
        <v>30</v>
      </c>
      <c r="B102" s="2">
        <v>2019</v>
      </c>
      <c r="C102" s="2">
        <f t="shared" si="10"/>
        <v>7699.1</v>
      </c>
    </row>
    <row r="103" spans="1:3" ht="16.5" thickBot="1" x14ac:dyDescent="0.3">
      <c r="A103" s="6" t="s">
        <v>30</v>
      </c>
      <c r="B103" s="2">
        <v>2020</v>
      </c>
      <c r="C103" s="2">
        <f t="shared" si="10"/>
        <v>9256.5</v>
      </c>
    </row>
    <row r="104" spans="1:3" ht="16.5" thickBot="1" x14ac:dyDescent="0.3">
      <c r="A104" s="6" t="s">
        <v>31</v>
      </c>
      <c r="B104" s="2">
        <v>2015</v>
      </c>
      <c r="C104" s="2">
        <f>IF(A104=$A$14,HLOOKUP(B104,$A$2:$G$36,13,0))</f>
        <v>2060.4</v>
      </c>
    </row>
    <row r="105" spans="1:3" ht="16.5" thickBot="1" x14ac:dyDescent="0.3">
      <c r="A105" s="6" t="s">
        <v>31</v>
      </c>
      <c r="B105" s="2">
        <v>2016</v>
      </c>
      <c r="C105" s="2">
        <f t="shared" ref="C105:C109" si="11">IF(A105=$A$14,HLOOKUP(B105,$A$2:$G$36,13,0))</f>
        <v>6163</v>
      </c>
    </row>
    <row r="106" spans="1:3" ht="16.5" thickBot="1" x14ac:dyDescent="0.3">
      <c r="A106" s="6" t="s">
        <v>31</v>
      </c>
      <c r="B106" s="2">
        <v>2017</v>
      </c>
      <c r="C106" s="2">
        <f t="shared" si="11"/>
        <v>2981.9</v>
      </c>
    </row>
    <row r="107" spans="1:3" ht="16.5" thickBot="1" x14ac:dyDescent="0.3">
      <c r="A107" s="6" t="s">
        <v>31</v>
      </c>
      <c r="B107" s="2">
        <v>2018</v>
      </c>
      <c r="C107" s="2">
        <f t="shared" si="11"/>
        <v>9975.2000000000007</v>
      </c>
    </row>
    <row r="108" spans="1:3" ht="16.5" thickBot="1" x14ac:dyDescent="0.3">
      <c r="A108" s="6" t="s">
        <v>31</v>
      </c>
      <c r="B108" s="2">
        <v>2019</v>
      </c>
      <c r="C108" s="2">
        <f t="shared" si="11"/>
        <v>10061</v>
      </c>
    </row>
    <row r="109" spans="1:3" ht="16.5" thickBot="1" x14ac:dyDescent="0.3">
      <c r="A109" s="6" t="s">
        <v>31</v>
      </c>
      <c r="B109" s="2">
        <v>2020</v>
      </c>
      <c r="C109" s="2">
        <f t="shared" si="11"/>
        <v>4286.3</v>
      </c>
    </row>
    <row r="110" spans="1:3" ht="16.5" thickBot="1" x14ac:dyDescent="0.3">
      <c r="A110" s="6" t="s">
        <v>32</v>
      </c>
      <c r="B110" s="2">
        <v>2015</v>
      </c>
      <c r="C110" s="2">
        <f>IF(A110=$A$15,HLOOKUP(B110,$A$2:$G$36,14,0))</f>
        <v>1270.0999999999999</v>
      </c>
    </row>
    <row r="111" spans="1:3" ht="16.5" thickBot="1" x14ac:dyDescent="0.3">
      <c r="A111" s="6" t="s">
        <v>32</v>
      </c>
      <c r="B111" s="2">
        <v>2016</v>
      </c>
      <c r="C111" s="2">
        <f t="shared" ref="C111:C115" si="12">IF(A111=$A$15,HLOOKUP(B111,$A$2:$G$36,14,0))</f>
        <v>8179.1</v>
      </c>
    </row>
    <row r="112" spans="1:3" ht="16.5" thickBot="1" x14ac:dyDescent="0.3">
      <c r="A112" s="6" t="s">
        <v>32</v>
      </c>
      <c r="B112" s="2">
        <v>2017</v>
      </c>
      <c r="C112" s="2">
        <f t="shared" si="12"/>
        <v>3037.8</v>
      </c>
    </row>
    <row r="113" spans="1:3" ht="16.5" thickBot="1" x14ac:dyDescent="0.3">
      <c r="A113" s="6" t="s">
        <v>32</v>
      </c>
      <c r="B113" s="2">
        <v>2018</v>
      </c>
      <c r="C113" s="2">
        <f t="shared" si="12"/>
        <v>13091.6</v>
      </c>
    </row>
    <row r="114" spans="1:3" ht="16.5" thickBot="1" x14ac:dyDescent="0.3">
      <c r="A114" s="6" t="s">
        <v>32</v>
      </c>
      <c r="B114" s="2">
        <v>2019</v>
      </c>
      <c r="C114" s="2">
        <f t="shared" si="12"/>
        <v>8591.9</v>
      </c>
    </row>
    <row r="115" spans="1:3" ht="16.5" thickBot="1" x14ac:dyDescent="0.3">
      <c r="A115" s="6" t="s">
        <v>32</v>
      </c>
      <c r="B115" s="2">
        <v>2020</v>
      </c>
      <c r="C115" s="2">
        <f t="shared" si="12"/>
        <v>3710</v>
      </c>
    </row>
    <row r="116" spans="1:3" ht="16.5" thickBot="1" x14ac:dyDescent="0.3">
      <c r="A116" s="6" t="s">
        <v>33</v>
      </c>
      <c r="B116" s="2">
        <v>2015</v>
      </c>
      <c r="C116" s="2">
        <f>IF(A116=$A$16,HLOOKUP(B116,$A$2:$G$36,15,0))</f>
        <v>9611.2999999999993</v>
      </c>
    </row>
    <row r="117" spans="1:3" ht="16.5" thickBot="1" x14ac:dyDescent="0.3">
      <c r="A117" s="6" t="s">
        <v>33</v>
      </c>
      <c r="B117" s="2">
        <v>2016</v>
      </c>
      <c r="C117" s="2">
        <f t="shared" ref="C117:C121" si="13">IF(A117=$A$16,HLOOKUP(B117,$A$2:$G$36,15,0))</f>
        <v>6885.1</v>
      </c>
    </row>
    <row r="118" spans="1:3" ht="16.5" thickBot="1" x14ac:dyDescent="0.3">
      <c r="A118" s="6" t="s">
        <v>33</v>
      </c>
      <c r="B118" s="2">
        <v>2017</v>
      </c>
      <c r="C118" s="2">
        <f t="shared" si="13"/>
        <v>10980.2</v>
      </c>
    </row>
    <row r="119" spans="1:3" ht="16.5" thickBot="1" x14ac:dyDescent="0.3">
      <c r="A119" s="6" t="s">
        <v>33</v>
      </c>
      <c r="B119" s="2">
        <v>2018</v>
      </c>
      <c r="C119" s="2">
        <f t="shared" si="13"/>
        <v>25942</v>
      </c>
    </row>
    <row r="120" spans="1:3" ht="16.5" thickBot="1" x14ac:dyDescent="0.3">
      <c r="A120" s="6" t="s">
        <v>33</v>
      </c>
      <c r="B120" s="2">
        <v>2019</v>
      </c>
      <c r="C120" s="2">
        <f t="shared" si="13"/>
        <v>21952</v>
      </c>
    </row>
    <row r="121" spans="1:3" ht="16.5" thickBot="1" x14ac:dyDescent="0.3">
      <c r="A121" s="6" t="s">
        <v>33</v>
      </c>
      <c r="B121" s="2">
        <v>2020</v>
      </c>
      <c r="C121" s="2">
        <f t="shared" si="13"/>
        <v>25934</v>
      </c>
    </row>
    <row r="122" spans="1:3" ht="16.5" thickBot="1" x14ac:dyDescent="0.3">
      <c r="A122" s="6" t="s">
        <v>34</v>
      </c>
      <c r="B122" s="2">
        <v>2015</v>
      </c>
      <c r="C122" s="2">
        <f>IF(A122=$A$17,HLOOKUP(B122,$A$2:$G$36,16,0))</f>
        <v>921.8</v>
      </c>
    </row>
    <row r="123" spans="1:3" ht="16.5" thickBot="1" x14ac:dyDescent="0.3">
      <c r="A123" s="6" t="s">
        <v>34</v>
      </c>
      <c r="B123" s="2">
        <v>2016</v>
      </c>
      <c r="C123" s="2">
        <f t="shared" ref="C123:C127" si="14">IF(A123=$A$17,HLOOKUP(B123,$A$2:$G$36,16,0))</f>
        <v>3345.7</v>
      </c>
    </row>
    <row r="124" spans="1:3" ht="16.5" thickBot="1" x14ac:dyDescent="0.3">
      <c r="A124" s="6" t="s">
        <v>34</v>
      </c>
      <c r="B124" s="2">
        <v>2017</v>
      </c>
      <c r="C124" s="2">
        <f t="shared" si="14"/>
        <v>853.3</v>
      </c>
    </row>
    <row r="125" spans="1:3" ht="16.5" thickBot="1" x14ac:dyDescent="0.3">
      <c r="A125" s="6" t="s">
        <v>34</v>
      </c>
      <c r="B125" s="2">
        <v>2018</v>
      </c>
      <c r="C125" s="2">
        <f t="shared" si="14"/>
        <v>1356.8</v>
      </c>
    </row>
    <row r="126" spans="1:3" ht="16.5" thickBot="1" x14ac:dyDescent="0.3">
      <c r="A126" s="6" t="s">
        <v>34</v>
      </c>
      <c r="B126" s="2">
        <v>2019</v>
      </c>
      <c r="C126" s="2">
        <f t="shared" si="14"/>
        <v>4400.8999999999996</v>
      </c>
    </row>
    <row r="127" spans="1:3" ht="16.5" thickBot="1" x14ac:dyDescent="0.3">
      <c r="A127" s="6" t="s">
        <v>34</v>
      </c>
      <c r="B127" s="2">
        <v>2020</v>
      </c>
      <c r="C127" s="2">
        <f t="shared" si="14"/>
        <v>2235.1999999999998</v>
      </c>
    </row>
    <row r="128" spans="1:3" ht="16.5" thickBot="1" x14ac:dyDescent="0.3">
      <c r="A128" s="6" t="s">
        <v>35</v>
      </c>
      <c r="B128" s="2">
        <v>2015</v>
      </c>
      <c r="C128" s="2">
        <f>IF(A128=$A$18,HLOOKUP(B128,$A$2:$G$36,17,0))</f>
        <v>1023.7</v>
      </c>
    </row>
    <row r="129" spans="1:3" ht="16.5" thickBot="1" x14ac:dyDescent="0.3">
      <c r="A129" s="6" t="s">
        <v>35</v>
      </c>
      <c r="B129" s="2">
        <v>2016</v>
      </c>
      <c r="C129" s="2">
        <f t="shared" ref="C129:C133" si="15">IF(A129=$A$18,HLOOKUP(B129,$A$2:$G$36,17,0))</f>
        <v>2202</v>
      </c>
    </row>
    <row r="130" spans="1:3" ht="16.5" thickBot="1" x14ac:dyDescent="0.3">
      <c r="A130" s="6" t="s">
        <v>35</v>
      </c>
      <c r="B130" s="2">
        <v>2017</v>
      </c>
      <c r="C130" s="2">
        <f t="shared" si="15"/>
        <v>1734.7</v>
      </c>
    </row>
    <row r="131" spans="1:3" ht="16.5" thickBot="1" x14ac:dyDescent="0.3">
      <c r="A131" s="6" t="s">
        <v>35</v>
      </c>
      <c r="B131" s="2">
        <v>2018</v>
      </c>
      <c r="C131" s="2">
        <f t="shared" si="15"/>
        <v>3112.9</v>
      </c>
    </row>
    <row r="132" spans="1:3" ht="16.5" thickBot="1" x14ac:dyDescent="0.3">
      <c r="A132" s="6" t="s">
        <v>35</v>
      </c>
      <c r="B132" s="2">
        <v>2019</v>
      </c>
      <c r="C132" s="2">
        <f t="shared" si="15"/>
        <v>2915.2</v>
      </c>
    </row>
    <row r="133" spans="1:3" ht="16.5" thickBot="1" x14ac:dyDescent="0.3">
      <c r="A133" s="6" t="s">
        <v>35</v>
      </c>
      <c r="B133" s="2">
        <v>2020</v>
      </c>
      <c r="C133" s="2">
        <f t="shared" si="15"/>
        <v>1863.8</v>
      </c>
    </row>
    <row r="134" spans="1:3" ht="16.5" thickBot="1" x14ac:dyDescent="0.3">
      <c r="A134" s="6" t="s">
        <v>36</v>
      </c>
      <c r="B134" s="2">
        <v>2015</v>
      </c>
      <c r="C134" s="2">
        <f>IF(A134=$A$19,HLOOKUP(B134,$A$2:$G$36,18,0))</f>
        <v>612.1</v>
      </c>
    </row>
    <row r="135" spans="1:3" ht="16.5" thickBot="1" x14ac:dyDescent="0.3">
      <c r="A135" s="6" t="s">
        <v>36</v>
      </c>
      <c r="B135" s="2">
        <v>2016</v>
      </c>
      <c r="C135" s="2">
        <f t="shared" ref="C135:C139" si="16">IF(A135=$A$19,HLOOKUP(B135,$A$2:$G$36,18,0))</f>
        <v>492.5</v>
      </c>
    </row>
    <row r="136" spans="1:3" ht="16.5" thickBot="1" x14ac:dyDescent="0.3">
      <c r="A136" s="6" t="s">
        <v>36</v>
      </c>
      <c r="B136" s="2">
        <v>2017</v>
      </c>
      <c r="C136" s="2">
        <f t="shared" si="16"/>
        <v>1398</v>
      </c>
    </row>
    <row r="137" spans="1:3" ht="16.5" thickBot="1" x14ac:dyDescent="0.3">
      <c r="A137" s="6" t="s">
        <v>36</v>
      </c>
      <c r="B137" s="2">
        <v>2018</v>
      </c>
      <c r="C137" s="2">
        <f t="shared" si="16"/>
        <v>4386</v>
      </c>
    </row>
    <row r="138" spans="1:3" ht="16.5" thickBot="1" x14ac:dyDescent="0.3">
      <c r="A138" s="6" t="s">
        <v>36</v>
      </c>
      <c r="B138" s="2">
        <v>2019</v>
      </c>
      <c r="C138" s="2">
        <f t="shared" si="16"/>
        <v>5656.4</v>
      </c>
    </row>
    <row r="139" spans="1:3" ht="16.5" thickBot="1" x14ac:dyDescent="0.3">
      <c r="A139" s="6" t="s">
        <v>36</v>
      </c>
      <c r="B139" s="2">
        <v>2020</v>
      </c>
      <c r="C139" s="2">
        <f t="shared" si="16"/>
        <v>14249</v>
      </c>
    </row>
    <row r="140" spans="1:3" ht="16.5" thickBot="1" x14ac:dyDescent="0.3">
      <c r="A140" s="6" t="s">
        <v>37</v>
      </c>
      <c r="B140" s="2">
        <v>2015</v>
      </c>
      <c r="C140" s="2">
        <f>IF(A140=$A$20,HLOOKUP(B140,$A$2:$G$36,19,0))</f>
        <v>1102.3</v>
      </c>
    </row>
    <row r="141" spans="1:3" ht="16.5" thickBot="1" x14ac:dyDescent="0.3">
      <c r="A141" s="6" t="s">
        <v>37</v>
      </c>
      <c r="B141" s="2">
        <v>2016</v>
      </c>
      <c r="C141" s="2">
        <f t="shared" ref="C141:C145" si="17">IF(A141=$A$20,HLOOKUP(B141,$A$2:$G$36,19,0))</f>
        <v>6031.8</v>
      </c>
    </row>
    <row r="142" spans="1:3" ht="16.5" thickBot="1" x14ac:dyDescent="0.3">
      <c r="A142" s="6" t="s">
        <v>37</v>
      </c>
      <c r="B142" s="2">
        <v>2017</v>
      </c>
      <c r="C142" s="2">
        <f t="shared" si="17"/>
        <v>7014.8</v>
      </c>
    </row>
    <row r="143" spans="1:3" ht="16.5" thickBot="1" x14ac:dyDescent="0.3">
      <c r="A143" s="6" t="s">
        <v>37</v>
      </c>
      <c r="B143" s="2">
        <v>2018</v>
      </c>
      <c r="C143" s="2">
        <f t="shared" si="17"/>
        <v>12314.7</v>
      </c>
    </row>
    <row r="144" spans="1:3" ht="16.5" thickBot="1" x14ac:dyDescent="0.3">
      <c r="A144" s="6" t="s">
        <v>37</v>
      </c>
      <c r="B144" s="2">
        <v>2019</v>
      </c>
      <c r="C144" s="2">
        <f t="shared" si="17"/>
        <v>2428.9</v>
      </c>
    </row>
    <row r="145" spans="1:3" ht="16.5" thickBot="1" x14ac:dyDescent="0.3">
      <c r="A145" s="6" t="s">
        <v>37</v>
      </c>
      <c r="B145" s="2">
        <v>2020</v>
      </c>
      <c r="C145" s="2">
        <f t="shared" si="17"/>
        <v>7120.5</v>
      </c>
    </row>
    <row r="146" spans="1:3" ht="16.5" thickBot="1" x14ac:dyDescent="0.3">
      <c r="A146" s="6" t="s">
        <v>38</v>
      </c>
      <c r="B146" s="2">
        <v>2015</v>
      </c>
      <c r="C146" s="2">
        <f>IF(A146=$A$21,HLOOKUP(B146,$A$2:$G$36,20,0))</f>
        <v>0</v>
      </c>
    </row>
    <row r="147" spans="1:3" ht="16.5" thickBot="1" x14ac:dyDescent="0.3">
      <c r="A147" s="6" t="s">
        <v>38</v>
      </c>
      <c r="B147" s="2">
        <v>2016</v>
      </c>
      <c r="C147" s="2">
        <f t="shared" ref="C147:C151" si="18">IF(A147=$A$21,HLOOKUP(B147,$A$2:$G$36,20,0))</f>
        <v>11.4</v>
      </c>
    </row>
    <row r="148" spans="1:3" ht="16.5" thickBot="1" x14ac:dyDescent="0.3">
      <c r="A148" s="6" t="s">
        <v>38</v>
      </c>
      <c r="B148" s="2">
        <v>2017</v>
      </c>
      <c r="C148" s="2">
        <f t="shared" si="18"/>
        <v>52.3</v>
      </c>
    </row>
    <row r="149" spans="1:3" ht="16.5" thickBot="1" x14ac:dyDescent="0.3">
      <c r="A149" s="6" t="s">
        <v>38</v>
      </c>
      <c r="B149" s="2">
        <v>2018</v>
      </c>
      <c r="C149" s="2">
        <f t="shared" si="18"/>
        <v>1013.5</v>
      </c>
    </row>
    <row r="150" spans="1:3" ht="16.5" thickBot="1" x14ac:dyDescent="0.3">
      <c r="A150" s="6" t="s">
        <v>38</v>
      </c>
      <c r="B150" s="2">
        <v>2019</v>
      </c>
      <c r="C150" s="2">
        <f t="shared" si="18"/>
        <v>283.2</v>
      </c>
    </row>
    <row r="151" spans="1:3" ht="16.5" thickBot="1" x14ac:dyDescent="0.3">
      <c r="A151" s="6" t="s">
        <v>38</v>
      </c>
      <c r="B151" s="2">
        <v>2020</v>
      </c>
      <c r="C151" s="2">
        <f t="shared" si="18"/>
        <v>474.8</v>
      </c>
    </row>
    <row r="152" spans="1:3" ht="16.5" thickBot="1" x14ac:dyDescent="0.3">
      <c r="A152" s="6" t="s">
        <v>39</v>
      </c>
      <c r="B152" s="2">
        <v>2015</v>
      </c>
      <c r="C152" s="2">
        <f>IF(A152=$A$22,HLOOKUP(B152,$A$2:$G$36,21,0))</f>
        <v>48.2</v>
      </c>
    </row>
    <row r="153" spans="1:3" ht="16.5" thickBot="1" x14ac:dyDescent="0.3">
      <c r="A153" s="6" t="s">
        <v>39</v>
      </c>
      <c r="B153" s="2">
        <v>2016</v>
      </c>
      <c r="C153" s="2">
        <f t="shared" ref="C153:C157" si="19">IF(A153=$A$22,HLOOKUP(B153,$A$2:$G$36,21,0))</f>
        <v>8.8000000000000007</v>
      </c>
    </row>
    <row r="154" spans="1:3" ht="16.5" thickBot="1" x14ac:dyDescent="0.3">
      <c r="A154" s="6" t="s">
        <v>39</v>
      </c>
      <c r="B154" s="2">
        <v>2017</v>
      </c>
      <c r="C154" s="2">
        <f t="shared" si="19"/>
        <v>1150.5999999999999</v>
      </c>
    </row>
    <row r="155" spans="1:3" ht="16.5" thickBot="1" x14ac:dyDescent="0.3">
      <c r="A155" s="6" t="s">
        <v>39</v>
      </c>
      <c r="B155" s="2">
        <v>2018</v>
      </c>
      <c r="C155" s="2">
        <f t="shared" si="19"/>
        <v>2276.3000000000002</v>
      </c>
    </row>
    <row r="156" spans="1:3" ht="16.5" thickBot="1" x14ac:dyDescent="0.3">
      <c r="A156" s="6" t="s">
        <v>39</v>
      </c>
      <c r="B156" s="2">
        <v>2019</v>
      </c>
      <c r="C156" s="2">
        <f t="shared" si="19"/>
        <v>682.7</v>
      </c>
    </row>
    <row r="157" spans="1:3" ht="16.5" thickBot="1" x14ac:dyDescent="0.3">
      <c r="A157" s="6" t="s">
        <v>39</v>
      </c>
      <c r="B157" s="2">
        <v>2020</v>
      </c>
      <c r="C157" s="2">
        <f t="shared" si="19"/>
        <v>662.1</v>
      </c>
    </row>
    <row r="158" spans="1:3" ht="16.5" thickBot="1" x14ac:dyDescent="0.3">
      <c r="A158" s="6" t="s">
        <v>40</v>
      </c>
      <c r="B158" s="2">
        <v>2015</v>
      </c>
      <c r="C158" s="2">
        <f>IF(A158=$A$23,HLOOKUP(B158,$A$2:$G$36,22,0))</f>
        <v>347.8</v>
      </c>
    </row>
    <row r="159" spans="1:3" ht="16.5" thickBot="1" x14ac:dyDescent="0.3">
      <c r="A159" s="6" t="s">
        <v>40</v>
      </c>
      <c r="B159" s="2">
        <v>2016</v>
      </c>
      <c r="C159" s="2">
        <f t="shared" ref="C159:C163" si="20">IF(A159=$A$23,HLOOKUP(B159,$A$2:$G$36,22,0))</f>
        <v>1342.8</v>
      </c>
    </row>
    <row r="160" spans="1:3" ht="16.5" thickBot="1" x14ac:dyDescent="0.3">
      <c r="A160" s="6" t="s">
        <v>40</v>
      </c>
      <c r="B160" s="2">
        <v>2017</v>
      </c>
      <c r="C160" s="2">
        <f t="shared" si="20"/>
        <v>5413.5</v>
      </c>
    </row>
    <row r="161" spans="1:3" ht="16.5" thickBot="1" x14ac:dyDescent="0.3">
      <c r="A161" s="6" t="s">
        <v>40</v>
      </c>
      <c r="B161" s="2">
        <v>2018</v>
      </c>
      <c r="C161" s="2">
        <f t="shared" si="20"/>
        <v>4135.1000000000004</v>
      </c>
    </row>
    <row r="162" spans="1:3" ht="16.5" thickBot="1" x14ac:dyDescent="0.3">
      <c r="A162" s="6" t="s">
        <v>40</v>
      </c>
      <c r="B162" s="2">
        <v>2019</v>
      </c>
      <c r="C162" s="2">
        <f t="shared" si="20"/>
        <v>3519</v>
      </c>
    </row>
    <row r="163" spans="1:3" ht="16.5" thickBot="1" x14ac:dyDescent="0.3">
      <c r="A163" s="6" t="s">
        <v>40</v>
      </c>
      <c r="B163" s="2">
        <v>2020</v>
      </c>
      <c r="C163" s="2">
        <f t="shared" si="20"/>
        <v>6582.4</v>
      </c>
    </row>
    <row r="164" spans="1:3" ht="16.5" thickBot="1" x14ac:dyDescent="0.3">
      <c r="A164" s="6" t="s">
        <v>41</v>
      </c>
      <c r="B164" s="2">
        <v>2015</v>
      </c>
      <c r="C164" s="2">
        <f>IF(A164=$A$24,HLOOKUP(B164,$A$2:$G$36,23,0))</f>
        <v>1295.7</v>
      </c>
    </row>
    <row r="165" spans="1:3" ht="16.5" thickBot="1" x14ac:dyDescent="0.3">
      <c r="A165" s="6" t="s">
        <v>41</v>
      </c>
      <c r="B165" s="2">
        <v>2016</v>
      </c>
      <c r="C165" s="2">
        <f t="shared" ref="C165:C169" si="21">IF(A165=$A$24,HLOOKUP(B165,$A$2:$G$36,23,0))</f>
        <v>822.2</v>
      </c>
    </row>
    <row r="166" spans="1:3" ht="16.5" thickBot="1" x14ac:dyDescent="0.3">
      <c r="A166" s="6" t="s">
        <v>41</v>
      </c>
      <c r="B166" s="2">
        <v>2017</v>
      </c>
      <c r="C166" s="2">
        <f t="shared" si="21"/>
        <v>1081.9000000000001</v>
      </c>
    </row>
    <row r="167" spans="1:3" ht="16.5" thickBot="1" x14ac:dyDescent="0.3">
      <c r="A167" s="6" t="s">
        <v>41</v>
      </c>
      <c r="B167" s="2">
        <v>2018</v>
      </c>
      <c r="C167" s="2">
        <f t="shared" si="21"/>
        <v>4246.1000000000004</v>
      </c>
    </row>
    <row r="168" spans="1:3" ht="16.5" thickBot="1" x14ac:dyDescent="0.3">
      <c r="A168" s="6" t="s">
        <v>41</v>
      </c>
      <c r="B168" s="2">
        <v>2019</v>
      </c>
      <c r="C168" s="2">
        <f t="shared" si="21"/>
        <v>3752.6</v>
      </c>
    </row>
    <row r="169" spans="1:3" ht="16.5" thickBot="1" x14ac:dyDescent="0.3">
      <c r="A169" s="6" t="s">
        <v>41</v>
      </c>
      <c r="B169" s="2">
        <v>2020</v>
      </c>
      <c r="C169" s="2">
        <f t="shared" si="21"/>
        <v>3028.5</v>
      </c>
    </row>
    <row r="170" spans="1:3" ht="16.5" thickBot="1" x14ac:dyDescent="0.3">
      <c r="A170" s="6" t="s">
        <v>42</v>
      </c>
      <c r="B170" s="2">
        <v>2015</v>
      </c>
      <c r="C170" s="2">
        <f>IF(A170=$A$25,HLOOKUP(B170,$A$2:$G$36,24,0))</f>
        <v>1275.2</v>
      </c>
    </row>
    <row r="171" spans="1:3" ht="16.5" thickBot="1" x14ac:dyDescent="0.3">
      <c r="A171" s="6" t="s">
        <v>42</v>
      </c>
      <c r="B171" s="2">
        <v>2016</v>
      </c>
      <c r="C171" s="2">
        <f t="shared" ref="C171:C175" si="22">IF(A171=$A$25,HLOOKUP(B171,$A$2:$G$36,24,0))</f>
        <v>220.5</v>
      </c>
    </row>
    <row r="172" spans="1:3" ht="16.5" thickBot="1" x14ac:dyDescent="0.3">
      <c r="A172" s="6" t="s">
        <v>42</v>
      </c>
      <c r="B172" s="2">
        <v>2017</v>
      </c>
      <c r="C172" s="2">
        <f t="shared" si="22"/>
        <v>1217.9000000000001</v>
      </c>
    </row>
    <row r="173" spans="1:3" ht="16.5" thickBot="1" x14ac:dyDescent="0.3">
      <c r="A173" s="6" t="s">
        <v>42</v>
      </c>
      <c r="B173" s="2">
        <v>2018</v>
      </c>
      <c r="C173" s="2">
        <f t="shared" si="22"/>
        <v>104.6</v>
      </c>
    </row>
    <row r="174" spans="1:3" ht="16.5" thickBot="1" x14ac:dyDescent="0.3">
      <c r="A174" s="6" t="s">
        <v>42</v>
      </c>
      <c r="B174" s="2">
        <v>2019</v>
      </c>
      <c r="C174" s="2">
        <f t="shared" si="22"/>
        <v>567.70000000000005</v>
      </c>
    </row>
    <row r="175" spans="1:3" ht="16.5" thickBot="1" x14ac:dyDescent="0.3">
      <c r="A175" s="6" t="s">
        <v>42</v>
      </c>
      <c r="B175" s="2">
        <v>2020</v>
      </c>
      <c r="C175" s="2">
        <f t="shared" si="22"/>
        <v>2722.2</v>
      </c>
    </row>
    <row r="176" spans="1:3" ht="16.5" thickBot="1" x14ac:dyDescent="0.3">
      <c r="A176" s="6" t="s">
        <v>43</v>
      </c>
      <c r="B176" s="2">
        <v>2015</v>
      </c>
      <c r="C176" s="2">
        <f>IF(A176=$A$26,HLOOKUP(B176,$A$2:$G$36,25,0))</f>
        <v>63.4</v>
      </c>
    </row>
    <row r="177" spans="1:3" ht="16.5" thickBot="1" x14ac:dyDescent="0.3">
      <c r="A177" s="6" t="s">
        <v>43</v>
      </c>
      <c r="B177" s="2">
        <v>2016</v>
      </c>
      <c r="C177" s="2">
        <f t="shared" ref="C177:C181" si="23">IF(A177=$A$26,HLOOKUP(B177,$A$2:$G$36,25,0))</f>
        <v>10.6</v>
      </c>
    </row>
    <row r="178" spans="1:3" ht="16.5" thickBot="1" x14ac:dyDescent="0.3">
      <c r="A178" s="6" t="s">
        <v>43</v>
      </c>
      <c r="B178" s="2">
        <v>2017</v>
      </c>
      <c r="C178" s="2">
        <f t="shared" si="23"/>
        <v>59.2</v>
      </c>
    </row>
    <row r="179" spans="1:3" ht="16.5" thickBot="1" x14ac:dyDescent="0.3">
      <c r="A179" s="6" t="s">
        <v>43</v>
      </c>
      <c r="B179" s="2">
        <v>2018</v>
      </c>
      <c r="C179" s="2">
        <f t="shared" si="23"/>
        <v>50.9</v>
      </c>
    </row>
    <row r="180" spans="1:3" ht="16.5" thickBot="1" x14ac:dyDescent="0.3">
      <c r="A180" s="6" t="s">
        <v>43</v>
      </c>
      <c r="B180" s="2">
        <v>2019</v>
      </c>
      <c r="C180" s="2">
        <f t="shared" si="23"/>
        <v>380.2</v>
      </c>
    </row>
    <row r="181" spans="1:3" ht="16.5" thickBot="1" x14ac:dyDescent="0.3">
      <c r="A181" s="6" t="s">
        <v>43</v>
      </c>
      <c r="B181" s="2">
        <v>2020</v>
      </c>
      <c r="C181" s="2">
        <f t="shared" si="23"/>
        <v>1925.4</v>
      </c>
    </row>
    <row r="182" spans="1:3" ht="16.5" thickBot="1" x14ac:dyDescent="0.3">
      <c r="A182" s="6" t="s">
        <v>44</v>
      </c>
      <c r="B182" s="2">
        <v>2015</v>
      </c>
      <c r="C182" s="2">
        <f>IF(A182=$A$27,HLOOKUP(B182,$A$2:$G$36,26,0))</f>
        <v>9943</v>
      </c>
    </row>
    <row r="183" spans="1:3" ht="16.5" thickBot="1" x14ac:dyDescent="0.3">
      <c r="A183" s="6" t="s">
        <v>44</v>
      </c>
      <c r="B183" s="2">
        <v>2016</v>
      </c>
      <c r="C183" s="2">
        <f t="shared" ref="C183:C187" si="24">IF(A183=$A$27,HLOOKUP(B183,$A$2:$G$36,26,0))</f>
        <v>6613.7</v>
      </c>
    </row>
    <row r="184" spans="1:3" ht="16.5" thickBot="1" x14ac:dyDescent="0.3">
      <c r="A184" s="6" t="s">
        <v>44</v>
      </c>
      <c r="B184" s="2">
        <v>2017</v>
      </c>
      <c r="C184" s="2">
        <f t="shared" si="24"/>
        <v>10829.8</v>
      </c>
    </row>
    <row r="185" spans="1:3" ht="16.5" thickBot="1" x14ac:dyDescent="0.3">
      <c r="A185" s="6" t="s">
        <v>44</v>
      </c>
      <c r="B185" s="2">
        <v>2018</v>
      </c>
      <c r="C185" s="2">
        <f t="shared" si="24"/>
        <v>9056.4</v>
      </c>
    </row>
    <row r="186" spans="1:3" ht="16.5" thickBot="1" x14ac:dyDescent="0.3">
      <c r="A186" s="6" t="s">
        <v>44</v>
      </c>
      <c r="B186" s="2">
        <v>2019</v>
      </c>
      <c r="C186" s="2">
        <f t="shared" si="24"/>
        <v>26292.2</v>
      </c>
    </row>
    <row r="187" spans="1:3" ht="16.5" thickBot="1" x14ac:dyDescent="0.3">
      <c r="A187" s="6" t="s">
        <v>44</v>
      </c>
      <c r="B187" s="2">
        <v>2020</v>
      </c>
      <c r="C187" s="2">
        <f t="shared" si="24"/>
        <v>34117.800000000003</v>
      </c>
    </row>
    <row r="188" spans="1:3" ht="16.5" thickBot="1" x14ac:dyDescent="0.3">
      <c r="A188" s="6" t="s">
        <v>45</v>
      </c>
      <c r="B188" s="2">
        <v>2015</v>
      </c>
      <c r="C188" s="2">
        <f>IF(A188=$A$28,HLOOKUP(B188,$A$2:$G$36,27,0))</f>
        <v>1103.8</v>
      </c>
    </row>
    <row r="189" spans="1:3" ht="16.5" thickBot="1" x14ac:dyDescent="0.3">
      <c r="A189" s="6" t="s">
        <v>45</v>
      </c>
      <c r="B189" s="2">
        <v>2016</v>
      </c>
      <c r="C189" s="2">
        <f t="shared" ref="C189:C193" si="25">IF(A189=$A$28,HLOOKUP(B189,$A$2:$G$36,27,0))</f>
        <v>84.1</v>
      </c>
    </row>
    <row r="190" spans="1:3" ht="16.5" thickBot="1" x14ac:dyDescent="0.3">
      <c r="A190" s="6" t="s">
        <v>45</v>
      </c>
      <c r="B190" s="2">
        <v>2017</v>
      </c>
      <c r="C190" s="2">
        <f t="shared" si="25"/>
        <v>660.2</v>
      </c>
    </row>
    <row r="191" spans="1:3" ht="16.5" thickBot="1" x14ac:dyDescent="0.3">
      <c r="A191" s="6" t="s">
        <v>45</v>
      </c>
      <c r="B191" s="2">
        <v>2018</v>
      </c>
      <c r="C191" s="2">
        <f t="shared" si="25"/>
        <v>3144.2</v>
      </c>
    </row>
    <row r="192" spans="1:3" ht="16.5" thickBot="1" x14ac:dyDescent="0.3">
      <c r="A192" s="6" t="s">
        <v>45</v>
      </c>
      <c r="B192" s="2">
        <v>2019</v>
      </c>
      <c r="C192" s="2">
        <f t="shared" si="25"/>
        <v>1187.2</v>
      </c>
    </row>
    <row r="193" spans="1:3" ht="16.5" thickBot="1" x14ac:dyDescent="0.3">
      <c r="A193" s="6" t="s">
        <v>45</v>
      </c>
      <c r="B193" s="2">
        <v>2020</v>
      </c>
      <c r="C193" s="2">
        <f t="shared" si="25"/>
        <v>252.9</v>
      </c>
    </row>
    <row r="194" spans="1:3" ht="16.5" thickBot="1" x14ac:dyDescent="0.3">
      <c r="A194" s="6" t="s">
        <v>46</v>
      </c>
      <c r="B194" s="2">
        <v>2015</v>
      </c>
      <c r="C194" s="2">
        <f>IF(A194=$A$29,HLOOKUP(B194,$A$2:$G$36,28,0))</f>
        <v>9215.2999999999993</v>
      </c>
    </row>
    <row r="195" spans="1:3" ht="16.5" thickBot="1" x14ac:dyDescent="0.3">
      <c r="A195" s="6" t="s">
        <v>46</v>
      </c>
      <c r="B195" s="2">
        <v>2016</v>
      </c>
      <c r="C195" s="2">
        <f t="shared" ref="C195:C199" si="26">IF(A195=$A$29,HLOOKUP(B195,$A$2:$G$36,28,0))</f>
        <v>3334.6</v>
      </c>
    </row>
    <row r="196" spans="1:3" ht="16.5" thickBot="1" x14ac:dyDescent="0.3">
      <c r="A196" s="6" t="s">
        <v>46</v>
      </c>
      <c r="B196" s="2">
        <v>2017</v>
      </c>
      <c r="C196" s="2">
        <f t="shared" si="26"/>
        <v>1969.4</v>
      </c>
    </row>
    <row r="197" spans="1:3" ht="16.5" thickBot="1" x14ac:dyDescent="0.3">
      <c r="A197" s="6" t="s">
        <v>46</v>
      </c>
      <c r="B197" s="2">
        <v>2018</v>
      </c>
      <c r="C197" s="2">
        <f t="shared" si="26"/>
        <v>3275.9</v>
      </c>
    </row>
    <row r="198" spans="1:3" ht="16.5" thickBot="1" x14ac:dyDescent="0.3">
      <c r="A198" s="6" t="s">
        <v>46</v>
      </c>
      <c r="B198" s="2">
        <v>2019</v>
      </c>
      <c r="C198" s="2">
        <f t="shared" si="26"/>
        <v>5672.6</v>
      </c>
    </row>
    <row r="199" spans="1:3" ht="16.5" thickBot="1" x14ac:dyDescent="0.3">
      <c r="A199" s="6" t="s">
        <v>46</v>
      </c>
      <c r="B199" s="2">
        <v>2020</v>
      </c>
      <c r="C199" s="2">
        <f t="shared" si="26"/>
        <v>9142</v>
      </c>
    </row>
    <row r="200" spans="1:3" ht="16.5" thickBot="1" x14ac:dyDescent="0.3">
      <c r="A200" s="6" t="s">
        <v>47</v>
      </c>
      <c r="B200" s="2">
        <v>2015</v>
      </c>
      <c r="C200" s="2">
        <f>IF(A200=$A$30,HLOOKUP(B200,$A$2:$G$36,29,0))</f>
        <v>968.4</v>
      </c>
    </row>
    <row r="201" spans="1:3" ht="16.5" thickBot="1" x14ac:dyDescent="0.3">
      <c r="A201" s="6" t="s">
        <v>47</v>
      </c>
      <c r="B201" s="2">
        <v>2016</v>
      </c>
      <c r="C201" s="2">
        <f t="shared" ref="C201:C205" si="27">IF(A201=$A$30,HLOOKUP(B201,$A$2:$G$36,29,0))</f>
        <v>1081.2</v>
      </c>
    </row>
    <row r="202" spans="1:3" ht="16.5" thickBot="1" x14ac:dyDescent="0.3">
      <c r="A202" s="6" t="s">
        <v>47</v>
      </c>
      <c r="B202" s="2">
        <v>2017</v>
      </c>
      <c r="C202" s="2">
        <f t="shared" si="27"/>
        <v>1929.7</v>
      </c>
    </row>
    <row r="203" spans="1:3" ht="16.5" thickBot="1" x14ac:dyDescent="0.3">
      <c r="A203" s="6" t="s">
        <v>47</v>
      </c>
      <c r="B203" s="2">
        <v>2018</v>
      </c>
      <c r="C203" s="2">
        <f t="shared" si="27"/>
        <v>8488.9</v>
      </c>
    </row>
    <row r="204" spans="1:3" ht="16.5" thickBot="1" x14ac:dyDescent="0.3">
      <c r="A204" s="6" t="s">
        <v>47</v>
      </c>
      <c r="B204" s="2">
        <v>2019</v>
      </c>
      <c r="C204" s="2">
        <f t="shared" si="27"/>
        <v>4438.8</v>
      </c>
    </row>
    <row r="205" spans="1:3" ht="16.5" thickBot="1" x14ac:dyDescent="0.3">
      <c r="A205" s="6" t="s">
        <v>47</v>
      </c>
      <c r="B205" s="2">
        <v>2020</v>
      </c>
      <c r="C205" s="2">
        <f t="shared" si="27"/>
        <v>5261.3</v>
      </c>
    </row>
    <row r="206" spans="1:3" ht="16.5" thickBot="1" x14ac:dyDescent="0.3">
      <c r="A206" s="6" t="s">
        <v>48</v>
      </c>
      <c r="B206" s="2">
        <v>2015</v>
      </c>
      <c r="C206" s="2">
        <f>IF(A206=$A$31,HLOOKUP(B206,$A$2:$G$36,30,0))</f>
        <v>2015.4</v>
      </c>
    </row>
    <row r="207" spans="1:3" ht="16.5" thickBot="1" x14ac:dyDescent="0.3">
      <c r="A207" s="6" t="s">
        <v>48</v>
      </c>
      <c r="B207" s="2">
        <v>2016</v>
      </c>
      <c r="C207" s="2">
        <f t="shared" ref="C207:C211" si="28">IF(A207=$A$31,HLOOKUP(B207,$A$2:$G$36,30,0))</f>
        <v>1794.2</v>
      </c>
    </row>
    <row r="208" spans="1:3" ht="16.5" thickBot="1" x14ac:dyDescent="0.3">
      <c r="A208" s="6" t="s">
        <v>48</v>
      </c>
      <c r="B208" s="2">
        <v>2017</v>
      </c>
      <c r="C208" s="2">
        <f t="shared" si="28"/>
        <v>3148.7</v>
      </c>
    </row>
    <row r="209" spans="1:3" ht="16.5" thickBot="1" x14ac:dyDescent="0.3">
      <c r="A209" s="6" t="s">
        <v>48</v>
      </c>
      <c r="B209" s="2">
        <v>2018</v>
      </c>
      <c r="C209" s="2">
        <f t="shared" si="28"/>
        <v>1603.4</v>
      </c>
    </row>
    <row r="210" spans="1:3" ht="16.5" thickBot="1" x14ac:dyDescent="0.3">
      <c r="A210" s="6" t="s">
        <v>48</v>
      </c>
      <c r="B210" s="2">
        <v>2019</v>
      </c>
      <c r="C210" s="2">
        <f t="shared" si="28"/>
        <v>3827.1</v>
      </c>
    </row>
    <row r="211" spans="1:3" ht="16.5" thickBot="1" x14ac:dyDescent="0.3">
      <c r="A211" s="6" t="s">
        <v>48</v>
      </c>
      <c r="B211" s="2">
        <v>2020</v>
      </c>
      <c r="C211" s="2">
        <f t="shared" si="28"/>
        <v>2865.7</v>
      </c>
    </row>
    <row r="212" spans="1:3" ht="16.5" thickBot="1" x14ac:dyDescent="0.3">
      <c r="A212" s="6" t="s">
        <v>49</v>
      </c>
      <c r="B212" s="2">
        <v>2015</v>
      </c>
      <c r="C212" s="2">
        <f>IF(A212=$A$32,HLOOKUP(B212,$A$2:$G$36,31,0))</f>
        <v>270.60000000000002</v>
      </c>
    </row>
    <row r="213" spans="1:3" ht="16.5" thickBot="1" x14ac:dyDescent="0.3">
      <c r="A213" s="6" t="s">
        <v>49</v>
      </c>
      <c r="B213" s="2">
        <v>2016</v>
      </c>
      <c r="C213" s="2">
        <f t="shared" ref="C213:C217" si="29">IF(A213=$A$32,HLOOKUP(B213,$A$2:$G$36,31,0))</f>
        <v>5069.6000000000004</v>
      </c>
    </row>
    <row r="214" spans="1:3" ht="16.5" thickBot="1" x14ac:dyDescent="0.3">
      <c r="A214" s="6" t="s">
        <v>49</v>
      </c>
      <c r="B214" s="2">
        <v>2017</v>
      </c>
      <c r="C214" s="2">
        <f t="shared" si="29"/>
        <v>1488.2</v>
      </c>
    </row>
    <row r="215" spans="1:3" ht="16.5" thickBot="1" x14ac:dyDescent="0.3">
      <c r="A215" s="6" t="s">
        <v>49</v>
      </c>
      <c r="B215" s="2">
        <v>2018</v>
      </c>
      <c r="C215" s="2">
        <f t="shared" si="29"/>
        <v>4320.1000000000004</v>
      </c>
    </row>
    <row r="216" spans="1:3" ht="16.5" thickBot="1" x14ac:dyDescent="0.3">
      <c r="A216" s="6" t="s">
        <v>49</v>
      </c>
      <c r="B216" s="2">
        <v>2019</v>
      </c>
      <c r="C216" s="2">
        <f t="shared" si="29"/>
        <v>8259.6</v>
      </c>
    </row>
    <row r="217" spans="1:3" ht="16.5" thickBot="1" x14ac:dyDescent="0.3">
      <c r="A217" s="6" t="s">
        <v>49</v>
      </c>
      <c r="B217" s="2">
        <v>2020</v>
      </c>
      <c r="C217" s="2">
        <f t="shared" si="29"/>
        <v>3005.6</v>
      </c>
    </row>
    <row r="218" spans="1:3" ht="16.5" thickBot="1" x14ac:dyDescent="0.3">
      <c r="A218" s="6" t="s">
        <v>50</v>
      </c>
      <c r="B218" s="2">
        <v>2015</v>
      </c>
      <c r="C218" s="2">
        <f>IF(A218=$A$33,HLOOKUP(B218,$A$2:$G$36,32,0))</f>
        <v>1552.5</v>
      </c>
    </row>
    <row r="219" spans="1:3" ht="16.5" thickBot="1" x14ac:dyDescent="0.3">
      <c r="A219" s="6" t="s">
        <v>50</v>
      </c>
      <c r="B219" s="2">
        <v>2016</v>
      </c>
      <c r="C219" s="2">
        <f t="shared" ref="C219:C223" si="30">IF(A219=$A$33,HLOOKUP(B219,$A$2:$G$36,32,0))</f>
        <v>3795.6</v>
      </c>
    </row>
    <row r="220" spans="1:3" ht="16.5" thickBot="1" x14ac:dyDescent="0.3">
      <c r="A220" s="6" t="s">
        <v>50</v>
      </c>
      <c r="B220" s="2">
        <v>2017</v>
      </c>
      <c r="C220" s="2">
        <f t="shared" si="30"/>
        <v>1517</v>
      </c>
    </row>
    <row r="221" spans="1:3" ht="16.5" thickBot="1" x14ac:dyDescent="0.3">
      <c r="A221" s="6" t="s">
        <v>50</v>
      </c>
      <c r="B221" s="2">
        <v>2018</v>
      </c>
      <c r="C221" s="2">
        <f t="shared" si="30"/>
        <v>2309.4</v>
      </c>
    </row>
    <row r="222" spans="1:3" ht="16.5" thickBot="1" x14ac:dyDescent="0.3">
      <c r="A222" s="6" t="s">
        <v>50</v>
      </c>
      <c r="B222" s="2">
        <v>2019</v>
      </c>
      <c r="C222" s="2">
        <f t="shared" si="30"/>
        <v>3026.6</v>
      </c>
    </row>
    <row r="223" spans="1:3" ht="16.5" thickBot="1" x14ac:dyDescent="0.3">
      <c r="A223" s="6" t="s">
        <v>50</v>
      </c>
      <c r="B223" s="2">
        <v>2020</v>
      </c>
      <c r="C223" s="2">
        <f t="shared" si="30"/>
        <v>3106.2</v>
      </c>
    </row>
    <row r="224" spans="1:3" ht="16.5" thickBot="1" x14ac:dyDescent="0.3">
      <c r="A224" s="6" t="s">
        <v>51</v>
      </c>
      <c r="B224" s="2">
        <v>2015</v>
      </c>
      <c r="C224" s="2">
        <f>IF(A224=$A$34,HLOOKUP(B224,$A$2:$G$36,33,0))</f>
        <v>10944.1</v>
      </c>
    </row>
    <row r="225" spans="1:3" ht="16.5" thickBot="1" x14ac:dyDescent="0.3">
      <c r="A225" s="6" t="s">
        <v>51</v>
      </c>
      <c r="B225" s="2">
        <v>2016</v>
      </c>
      <c r="C225" s="2">
        <f t="shared" ref="C225:C229" si="31">IF(A225=$A$34,HLOOKUP(B225,$A$2:$G$36,33,0))</f>
        <v>8534.1</v>
      </c>
    </row>
    <row r="226" spans="1:3" ht="16.5" thickBot="1" x14ac:dyDescent="0.3">
      <c r="A226" s="6" t="s">
        <v>51</v>
      </c>
      <c r="B226" s="2">
        <v>2017</v>
      </c>
      <c r="C226" s="2">
        <f t="shared" si="31"/>
        <v>8200.2000000000007</v>
      </c>
    </row>
    <row r="227" spans="1:3" ht="16.5" thickBot="1" x14ac:dyDescent="0.3">
      <c r="A227" s="6" t="s">
        <v>51</v>
      </c>
      <c r="B227" s="2">
        <v>2018</v>
      </c>
      <c r="C227" s="2">
        <f t="shared" si="31"/>
        <v>9519.7999999999993</v>
      </c>
    </row>
    <row r="228" spans="1:3" ht="16.5" thickBot="1" x14ac:dyDescent="0.3">
      <c r="A228" s="6" t="s">
        <v>51</v>
      </c>
      <c r="B228" s="2">
        <v>2019</v>
      </c>
      <c r="C228" s="2">
        <f t="shared" si="31"/>
        <v>16921.099999999999</v>
      </c>
    </row>
    <row r="229" spans="1:3" ht="16.5" thickBot="1" x14ac:dyDescent="0.3">
      <c r="A229" s="6" t="s">
        <v>51</v>
      </c>
      <c r="B229" s="2">
        <v>2020</v>
      </c>
      <c r="C229" s="2">
        <f t="shared" si="31"/>
        <v>15824.5</v>
      </c>
    </row>
    <row r="230" spans="1:3" ht="16.5" thickBot="1" x14ac:dyDescent="0.3">
      <c r="A230" s="6" t="s">
        <v>52</v>
      </c>
      <c r="B230" s="2">
        <v>2015</v>
      </c>
      <c r="C230" s="2">
        <f>IF(A230=$A$35,HLOOKUP(B230,$A$2:$G$36,34,0))</f>
        <v>4287.3999999999996</v>
      </c>
    </row>
    <row r="231" spans="1:3" ht="16.5" thickBot="1" x14ac:dyDescent="0.3">
      <c r="A231" s="6" t="s">
        <v>52</v>
      </c>
      <c r="B231" s="2">
        <v>2016</v>
      </c>
      <c r="C231" s="2">
        <f t="shared" ref="C231:C235" si="32">IF(A231=$A$35,HLOOKUP(B231,$A$2:$G$36,34,0))</f>
        <v>4864.2</v>
      </c>
    </row>
    <row r="232" spans="1:3" ht="16.5" thickBot="1" x14ac:dyDescent="0.3">
      <c r="A232" s="6" t="s">
        <v>52</v>
      </c>
      <c r="B232" s="2">
        <v>2017</v>
      </c>
      <c r="C232" s="2">
        <f t="shared" si="32"/>
        <v>11683.6</v>
      </c>
    </row>
    <row r="233" spans="1:3" ht="16.5" thickBot="1" x14ac:dyDescent="0.3">
      <c r="A233" s="6" t="s">
        <v>52</v>
      </c>
      <c r="B233" s="2">
        <v>2018</v>
      </c>
      <c r="C233" s="2">
        <f t="shared" si="32"/>
        <v>8371.7999999999993</v>
      </c>
    </row>
    <row r="234" spans="1:3" ht="16.5" thickBot="1" x14ac:dyDescent="0.3">
      <c r="A234" s="6" t="s">
        <v>52</v>
      </c>
      <c r="B234" s="2">
        <v>2019</v>
      </c>
      <c r="C234" s="2">
        <f t="shared" si="32"/>
        <v>19749</v>
      </c>
    </row>
    <row r="235" spans="1:3" ht="16.5" thickBot="1" x14ac:dyDescent="0.3">
      <c r="A235" s="6" t="s">
        <v>52</v>
      </c>
      <c r="B235" s="2">
        <v>2020</v>
      </c>
      <c r="C235" s="2">
        <f t="shared" si="32"/>
        <v>18189.5</v>
      </c>
    </row>
    <row r="236" spans="1:3" ht="16.5" thickBot="1" x14ac:dyDescent="0.3">
      <c r="A236" s="6" t="s">
        <v>53</v>
      </c>
      <c r="B236" s="2">
        <v>2015</v>
      </c>
      <c r="C236" s="2">
        <f>IF(A236=$A$36,HLOOKUP(B236,$A$2:$G$36,35,0))</f>
        <v>362.4</v>
      </c>
    </row>
    <row r="237" spans="1:3" ht="16.5" thickBot="1" x14ac:dyDescent="0.3">
      <c r="A237" s="6" t="s">
        <v>53</v>
      </c>
      <c r="B237" s="2">
        <v>2016</v>
      </c>
      <c r="C237" s="2">
        <f t="shared" ref="C237:C241" si="33">IF(A237=$A$36,HLOOKUP(B237,$A$2:$G$36,35,0))</f>
        <v>948.6</v>
      </c>
    </row>
    <row r="238" spans="1:3" ht="16.5" thickBot="1" x14ac:dyDescent="0.3">
      <c r="A238" s="6" t="s">
        <v>53</v>
      </c>
      <c r="B238" s="2">
        <v>2017</v>
      </c>
      <c r="C238" s="2">
        <f t="shared" si="33"/>
        <v>294.60000000000002</v>
      </c>
    </row>
    <row r="239" spans="1:3" ht="16.5" thickBot="1" x14ac:dyDescent="0.3">
      <c r="A239" s="6" t="s">
        <v>53</v>
      </c>
      <c r="B239" s="2">
        <v>2018</v>
      </c>
      <c r="C239" s="2">
        <f t="shared" si="33"/>
        <v>6131.7</v>
      </c>
    </row>
    <row r="240" spans="1:3" ht="16.5" thickBot="1" x14ac:dyDescent="0.3">
      <c r="A240" s="6" t="s">
        <v>53</v>
      </c>
      <c r="B240" s="2">
        <v>2019</v>
      </c>
      <c r="C240" s="2">
        <f t="shared" si="33"/>
        <v>6298.8</v>
      </c>
    </row>
    <row r="241" spans="1:3" ht="16.5" thickBot="1" x14ac:dyDescent="0.3">
      <c r="A241" s="6" t="s">
        <v>53</v>
      </c>
      <c r="B241" s="2">
        <v>2020</v>
      </c>
      <c r="C241" s="2">
        <f t="shared" si="33"/>
        <v>2683.4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1"/>
  <sheetViews>
    <sheetView workbookViewId="0"/>
  </sheetViews>
  <sheetFormatPr defaultRowHeight="15" x14ac:dyDescent="0.25"/>
  <cols>
    <col min="1" max="1" width="27.42578125" customWidth="1"/>
  </cols>
  <sheetData>
    <row r="1" spans="1:7" ht="16.5" thickBot="1" x14ac:dyDescent="0.3">
      <c r="A1" s="25" t="s">
        <v>93</v>
      </c>
      <c r="B1" s="23"/>
      <c r="C1" s="23"/>
      <c r="D1" s="23"/>
      <c r="E1" s="23"/>
      <c r="F1" s="23"/>
      <c r="G1" s="23"/>
    </row>
    <row r="2" spans="1:7" ht="16.5" thickBot="1" x14ac:dyDescent="0.3">
      <c r="A2" s="1" t="s">
        <v>91</v>
      </c>
      <c r="B2" s="1">
        <v>2015</v>
      </c>
      <c r="C2" s="1">
        <v>2016</v>
      </c>
      <c r="D2" s="1">
        <v>2017</v>
      </c>
      <c r="E2" s="1">
        <v>2018</v>
      </c>
      <c r="F2" s="1">
        <v>2019</v>
      </c>
      <c r="G2" s="1">
        <v>2020</v>
      </c>
    </row>
    <row r="3" spans="1:7" ht="16.5" thickBot="1" x14ac:dyDescent="0.3">
      <c r="A3" s="24" t="s">
        <v>20</v>
      </c>
      <c r="B3" s="20">
        <v>21.2</v>
      </c>
      <c r="C3" s="20">
        <v>134.5</v>
      </c>
      <c r="D3" s="20">
        <v>23.2</v>
      </c>
      <c r="E3" s="20">
        <v>71.2</v>
      </c>
      <c r="F3" s="20">
        <v>137.5</v>
      </c>
      <c r="G3" s="20">
        <v>51.1</v>
      </c>
    </row>
    <row r="4" spans="1:7" ht="16.5" thickBot="1" x14ac:dyDescent="0.3">
      <c r="A4" s="20" t="s">
        <v>21</v>
      </c>
      <c r="B4" s="20">
        <v>495.8</v>
      </c>
      <c r="C4" s="20">
        <v>450.6</v>
      </c>
      <c r="D4" s="20">
        <v>886.9</v>
      </c>
      <c r="E4" s="20">
        <v>1002.5</v>
      </c>
      <c r="F4" s="20">
        <v>426</v>
      </c>
      <c r="G4" s="20">
        <v>293.3</v>
      </c>
    </row>
    <row r="5" spans="1:7" ht="16.5" thickBot="1" x14ac:dyDescent="0.3">
      <c r="A5" s="20" t="s">
        <v>22</v>
      </c>
      <c r="B5" s="20">
        <v>2542</v>
      </c>
      <c r="C5" s="20">
        <v>2912.1</v>
      </c>
      <c r="D5" s="20">
        <v>3047.5</v>
      </c>
      <c r="E5" s="20">
        <v>2827.3</v>
      </c>
      <c r="F5" s="20">
        <v>1868.2</v>
      </c>
      <c r="G5" s="20">
        <v>2143.6</v>
      </c>
    </row>
    <row r="6" spans="1:7" ht="16.5" thickBot="1" x14ac:dyDescent="0.3">
      <c r="A6" s="20" t="s">
        <v>23</v>
      </c>
      <c r="B6" s="20">
        <v>20.6</v>
      </c>
      <c r="C6" s="20">
        <v>55.7</v>
      </c>
      <c r="D6" s="20">
        <v>138.69999999999999</v>
      </c>
      <c r="E6" s="20">
        <v>136.6</v>
      </c>
      <c r="F6" s="20">
        <v>144.80000000000001</v>
      </c>
      <c r="G6" s="20">
        <v>192.3</v>
      </c>
    </row>
    <row r="7" spans="1:7" ht="16.5" thickBot="1" x14ac:dyDescent="0.3">
      <c r="A7" s="20" t="s">
        <v>24</v>
      </c>
      <c r="B7" s="20">
        <v>3619.4</v>
      </c>
      <c r="C7" s="20">
        <v>3398.2</v>
      </c>
      <c r="D7" s="20">
        <v>4595</v>
      </c>
      <c r="E7" s="20">
        <v>4857.7</v>
      </c>
      <c r="F7" s="20">
        <v>4123</v>
      </c>
      <c r="G7" s="20">
        <v>9.6999999999999993</v>
      </c>
    </row>
    <row r="8" spans="1:7" ht="16.5" thickBot="1" x14ac:dyDescent="0.3">
      <c r="A8" s="20" t="s">
        <v>25</v>
      </c>
      <c r="B8" s="20">
        <v>6.9</v>
      </c>
      <c r="C8" s="20">
        <v>12.7</v>
      </c>
      <c r="D8" s="20">
        <v>41.3</v>
      </c>
      <c r="E8" s="20">
        <v>40.799999999999997</v>
      </c>
      <c r="F8" s="20">
        <v>171.3</v>
      </c>
      <c r="G8" s="20">
        <v>3613.3</v>
      </c>
    </row>
    <row r="9" spans="1:7" ht="16.5" thickBot="1" x14ac:dyDescent="0.3">
      <c r="A9" s="20" t="s">
        <v>26</v>
      </c>
      <c r="B9" s="20">
        <v>107.7</v>
      </c>
      <c r="C9" s="20">
        <v>61</v>
      </c>
      <c r="D9" s="20">
        <v>76.8</v>
      </c>
      <c r="E9" s="20">
        <v>101.9</v>
      </c>
      <c r="F9" s="20">
        <v>54.6</v>
      </c>
      <c r="G9" s="20">
        <v>67.599999999999994</v>
      </c>
    </row>
    <row r="10" spans="1:7" ht="16.5" thickBot="1" x14ac:dyDescent="0.3">
      <c r="A10" s="20" t="s">
        <v>27</v>
      </c>
      <c r="B10" s="20">
        <v>5738.7</v>
      </c>
      <c r="C10" s="20">
        <v>5470.9</v>
      </c>
      <c r="D10" s="20">
        <v>5142.8999999999996</v>
      </c>
      <c r="E10" s="20">
        <v>5573.5</v>
      </c>
      <c r="F10" s="20">
        <v>5881</v>
      </c>
      <c r="G10" s="20">
        <v>27</v>
      </c>
    </row>
    <row r="11" spans="1:7" ht="16.5" thickBot="1" x14ac:dyDescent="0.3">
      <c r="A11" s="20" t="s">
        <v>28</v>
      </c>
      <c r="B11" s="20">
        <v>850.4</v>
      </c>
      <c r="C11" s="20">
        <v>1030.8</v>
      </c>
      <c r="D11" s="20">
        <v>2372.5</v>
      </c>
      <c r="E11" s="20">
        <v>2372.6999999999998</v>
      </c>
      <c r="F11" s="20">
        <v>2723.2</v>
      </c>
      <c r="G11" s="20">
        <v>4793.7</v>
      </c>
    </row>
    <row r="12" spans="1:7" ht="16.5" thickBot="1" x14ac:dyDescent="0.3">
      <c r="A12" s="20" t="s">
        <v>29</v>
      </c>
      <c r="B12" s="20">
        <v>2593.4</v>
      </c>
      <c r="C12" s="20">
        <v>1941</v>
      </c>
      <c r="D12" s="20">
        <v>1566.7</v>
      </c>
      <c r="E12" s="20">
        <v>1333.4</v>
      </c>
      <c r="F12" s="20">
        <v>866.3</v>
      </c>
      <c r="G12" s="20">
        <v>1363.6</v>
      </c>
    </row>
    <row r="13" spans="1:7" ht="16.5" thickBot="1" x14ac:dyDescent="0.3">
      <c r="A13" s="20" t="s">
        <v>30</v>
      </c>
      <c r="B13" s="20">
        <v>1335.7</v>
      </c>
      <c r="C13" s="20">
        <v>630.70000000000005</v>
      </c>
      <c r="D13" s="20">
        <v>568.4</v>
      </c>
      <c r="E13" s="20">
        <v>491.9</v>
      </c>
      <c r="F13" s="20">
        <v>532.29999999999995</v>
      </c>
      <c r="G13" s="20">
        <v>1575.5</v>
      </c>
    </row>
    <row r="14" spans="1:7" ht="16.5" thickBot="1" x14ac:dyDescent="0.3">
      <c r="A14" s="20" t="s">
        <v>31</v>
      </c>
      <c r="B14" s="20">
        <v>961.2</v>
      </c>
      <c r="C14" s="20">
        <v>249.4</v>
      </c>
      <c r="D14" s="20">
        <v>243.8</v>
      </c>
      <c r="E14" s="20">
        <v>129.19999999999999</v>
      </c>
      <c r="F14" s="20">
        <v>372.9</v>
      </c>
      <c r="G14" s="20">
        <v>759.3</v>
      </c>
    </row>
    <row r="15" spans="1:7" ht="16.5" thickBot="1" x14ac:dyDescent="0.3">
      <c r="A15" s="20" t="s">
        <v>32</v>
      </c>
      <c r="B15" s="20">
        <v>933.6</v>
      </c>
      <c r="C15" s="20">
        <v>408.2</v>
      </c>
      <c r="D15" s="20">
        <v>641</v>
      </c>
      <c r="E15" s="20">
        <v>678.5</v>
      </c>
      <c r="F15" s="20">
        <v>283.5</v>
      </c>
      <c r="G15" s="20">
        <v>240.8</v>
      </c>
    </row>
    <row r="16" spans="1:7" ht="16.5" thickBot="1" x14ac:dyDescent="0.3">
      <c r="A16" s="20" t="s">
        <v>33</v>
      </c>
      <c r="B16" s="20">
        <v>2381.4</v>
      </c>
      <c r="C16" s="20">
        <v>1139.5999999999999</v>
      </c>
      <c r="D16" s="20">
        <v>1285.2</v>
      </c>
      <c r="E16" s="20">
        <v>587.5</v>
      </c>
      <c r="F16" s="20">
        <v>861</v>
      </c>
      <c r="G16" s="20">
        <v>177.6</v>
      </c>
    </row>
    <row r="17" spans="1:7" ht="16.5" thickBot="1" x14ac:dyDescent="0.3">
      <c r="A17" s="20" t="s">
        <v>34</v>
      </c>
      <c r="B17" s="20">
        <v>230.9</v>
      </c>
      <c r="C17" s="20">
        <v>160.80000000000001</v>
      </c>
      <c r="D17" s="20">
        <v>149</v>
      </c>
      <c r="E17" s="20">
        <v>67.3</v>
      </c>
      <c r="F17" s="20">
        <v>81.7</v>
      </c>
      <c r="G17" s="20">
        <v>378</v>
      </c>
    </row>
    <row r="18" spans="1:7" ht="16.5" thickBot="1" x14ac:dyDescent="0.3">
      <c r="A18" s="20" t="s">
        <v>35</v>
      </c>
      <c r="B18" s="20">
        <v>82.7</v>
      </c>
      <c r="C18" s="20">
        <v>52.7</v>
      </c>
      <c r="D18" s="20">
        <v>153.1</v>
      </c>
      <c r="E18" s="20">
        <v>46.3</v>
      </c>
      <c r="F18" s="20">
        <v>88.7</v>
      </c>
      <c r="G18" s="20">
        <v>68.400000000000006</v>
      </c>
    </row>
    <row r="19" spans="1:7" ht="16.5" thickBot="1" x14ac:dyDescent="0.3">
      <c r="A19" s="20" t="s">
        <v>36</v>
      </c>
      <c r="B19" s="20">
        <v>640.4</v>
      </c>
      <c r="C19" s="20">
        <v>519.1</v>
      </c>
      <c r="D19" s="20">
        <v>1031.5</v>
      </c>
      <c r="E19" s="20">
        <v>831.3</v>
      </c>
      <c r="F19" s="20">
        <v>1363.4</v>
      </c>
      <c r="G19" s="20">
        <v>48.4</v>
      </c>
    </row>
    <row r="20" spans="1:7" ht="16.5" thickBot="1" x14ac:dyDescent="0.3">
      <c r="A20" s="20" t="s">
        <v>37</v>
      </c>
      <c r="B20" s="20">
        <v>257.7</v>
      </c>
      <c r="C20" s="20">
        <v>85.7</v>
      </c>
      <c r="D20" s="20">
        <v>120.6</v>
      </c>
      <c r="E20" s="20">
        <v>132.30000000000001</v>
      </c>
      <c r="F20" s="20">
        <v>155.19999999999999</v>
      </c>
      <c r="G20" s="20">
        <v>1649.4</v>
      </c>
    </row>
    <row r="21" spans="1:7" ht="16.5" thickBot="1" x14ac:dyDescent="0.3">
      <c r="A21" s="20" t="s">
        <v>38</v>
      </c>
      <c r="B21" s="20">
        <v>82.4</v>
      </c>
      <c r="C21" s="20">
        <v>102.6</v>
      </c>
      <c r="D21" s="20">
        <v>212</v>
      </c>
      <c r="E21" s="20">
        <v>8</v>
      </c>
      <c r="F21" s="20">
        <v>33</v>
      </c>
      <c r="G21" s="20">
        <v>498.4</v>
      </c>
    </row>
    <row r="22" spans="1:7" ht="16.5" thickBot="1" x14ac:dyDescent="0.3">
      <c r="A22" s="20" t="s">
        <v>39</v>
      </c>
      <c r="B22" s="20">
        <v>203.8</v>
      </c>
      <c r="C22" s="20">
        <v>438.9</v>
      </c>
      <c r="D22" s="20">
        <v>228.1</v>
      </c>
      <c r="E22" s="20">
        <v>362.8</v>
      </c>
      <c r="F22" s="20">
        <v>1008.5</v>
      </c>
      <c r="G22" s="20">
        <v>176.7</v>
      </c>
    </row>
    <row r="23" spans="1:7" ht="16.5" thickBot="1" x14ac:dyDescent="0.3">
      <c r="A23" s="20" t="s">
        <v>40</v>
      </c>
      <c r="B23" s="20">
        <v>699.4</v>
      </c>
      <c r="C23" s="20">
        <v>439</v>
      </c>
      <c r="D23" s="20">
        <v>132.1</v>
      </c>
      <c r="E23" s="20">
        <v>251.6</v>
      </c>
      <c r="F23" s="20">
        <v>270.7</v>
      </c>
      <c r="G23" s="20">
        <v>2409</v>
      </c>
    </row>
    <row r="24" spans="1:7" ht="16.5" thickBot="1" x14ac:dyDescent="0.3">
      <c r="A24" s="20" t="s">
        <v>41</v>
      </c>
      <c r="B24" s="20">
        <v>69.900000000000006</v>
      </c>
      <c r="C24" s="20">
        <v>58.2</v>
      </c>
      <c r="D24" s="20">
        <v>139</v>
      </c>
      <c r="E24" s="20">
        <v>100.4</v>
      </c>
      <c r="F24" s="20">
        <v>126.8</v>
      </c>
      <c r="G24" s="20">
        <v>302.10000000000002</v>
      </c>
    </row>
    <row r="25" spans="1:7" ht="16.5" thickBot="1" x14ac:dyDescent="0.3">
      <c r="A25" s="20" t="s">
        <v>42</v>
      </c>
      <c r="B25" s="20">
        <v>897</v>
      </c>
      <c r="C25" s="20">
        <v>1168.4000000000001</v>
      </c>
      <c r="D25" s="20">
        <v>1924.1</v>
      </c>
      <c r="E25" s="20">
        <v>1132.3</v>
      </c>
      <c r="F25" s="20">
        <v>941</v>
      </c>
      <c r="G25" s="20">
        <v>81.3</v>
      </c>
    </row>
    <row r="26" spans="1:7" ht="16.5" thickBot="1" x14ac:dyDescent="0.3">
      <c r="A26" s="20" t="s">
        <v>43</v>
      </c>
      <c r="B26" s="20">
        <v>258.60000000000002</v>
      </c>
      <c r="C26" s="20">
        <v>514.5</v>
      </c>
      <c r="D26" s="20">
        <v>84.7</v>
      </c>
      <c r="E26" s="20">
        <v>286.89999999999998</v>
      </c>
      <c r="F26" s="20">
        <v>46.2</v>
      </c>
      <c r="G26" s="20">
        <v>567.70000000000005</v>
      </c>
    </row>
    <row r="27" spans="1:7" ht="16.5" thickBot="1" x14ac:dyDescent="0.3">
      <c r="A27" s="20" t="s">
        <v>44</v>
      </c>
      <c r="B27" s="20">
        <v>653.4</v>
      </c>
      <c r="C27" s="20">
        <v>869.1</v>
      </c>
      <c r="D27" s="20">
        <v>1061.0999999999999</v>
      </c>
      <c r="E27" s="20">
        <v>1032.9000000000001</v>
      </c>
      <c r="F27" s="20">
        <v>1034</v>
      </c>
      <c r="G27" s="20">
        <v>10.6</v>
      </c>
    </row>
    <row r="28" spans="1:7" ht="16.5" thickBot="1" x14ac:dyDescent="0.3">
      <c r="A28" s="20" t="s">
        <v>45</v>
      </c>
      <c r="B28" s="20">
        <v>2</v>
      </c>
      <c r="C28" s="20">
        <v>20.6</v>
      </c>
      <c r="D28" s="20">
        <v>11.4</v>
      </c>
      <c r="E28" s="20">
        <v>24.7</v>
      </c>
      <c r="F28" s="20">
        <v>10.1</v>
      </c>
      <c r="G28" s="20">
        <v>1078</v>
      </c>
    </row>
    <row r="29" spans="1:7" ht="16.5" thickBot="1" x14ac:dyDescent="0.3">
      <c r="A29" s="20" t="s">
        <v>46</v>
      </c>
      <c r="B29" s="20">
        <v>233.3</v>
      </c>
      <c r="C29" s="20">
        <v>372.5</v>
      </c>
      <c r="D29" s="20">
        <v>712.8</v>
      </c>
      <c r="E29" s="20">
        <v>617.20000000000005</v>
      </c>
      <c r="F29" s="20">
        <v>302.60000000000002</v>
      </c>
      <c r="G29" s="20">
        <v>6.5</v>
      </c>
    </row>
    <row r="30" spans="1:7" ht="16.5" thickBot="1" x14ac:dyDescent="0.3">
      <c r="A30" s="20" t="s">
        <v>47</v>
      </c>
      <c r="B30" s="20">
        <v>1085.2</v>
      </c>
      <c r="C30" s="20">
        <v>1600.3</v>
      </c>
      <c r="D30" s="20">
        <v>1545.6</v>
      </c>
      <c r="E30" s="20">
        <v>672.4</v>
      </c>
      <c r="F30" s="20">
        <v>1805</v>
      </c>
      <c r="G30" s="20">
        <v>236.1</v>
      </c>
    </row>
    <row r="31" spans="1:7" ht="16.5" thickBot="1" x14ac:dyDescent="0.3">
      <c r="A31" s="20" t="s">
        <v>48</v>
      </c>
      <c r="B31" s="20">
        <v>145</v>
      </c>
      <c r="C31" s="20">
        <v>376.1</v>
      </c>
      <c r="D31" s="20">
        <v>693</v>
      </c>
      <c r="E31" s="20">
        <v>672.9</v>
      </c>
      <c r="F31" s="20">
        <v>987.7</v>
      </c>
      <c r="G31" s="20">
        <v>1779</v>
      </c>
    </row>
    <row r="32" spans="1:7" ht="16.5" thickBot="1" x14ac:dyDescent="0.3">
      <c r="A32" s="20" t="s">
        <v>49</v>
      </c>
      <c r="B32" s="20">
        <v>88</v>
      </c>
      <c r="C32" s="20">
        <v>382.8</v>
      </c>
      <c r="D32" s="20">
        <v>482.9</v>
      </c>
      <c r="E32" s="20">
        <v>295.89999999999998</v>
      </c>
      <c r="F32" s="20">
        <v>220.5</v>
      </c>
      <c r="G32" s="20">
        <v>1268.5999999999999</v>
      </c>
    </row>
    <row r="33" spans="1:7" ht="16.5" thickBot="1" x14ac:dyDescent="0.3">
      <c r="A33" s="20" t="s">
        <v>50</v>
      </c>
      <c r="B33" s="20">
        <v>57.1</v>
      </c>
      <c r="C33" s="20">
        <v>79.3</v>
      </c>
      <c r="D33" s="20">
        <v>194.4</v>
      </c>
      <c r="E33" s="20">
        <v>180.8</v>
      </c>
      <c r="F33" s="20">
        <v>157.1</v>
      </c>
      <c r="G33" s="20">
        <v>155.69999999999999</v>
      </c>
    </row>
    <row r="34" spans="1:7" ht="16.5" thickBot="1" x14ac:dyDescent="0.3">
      <c r="A34" s="20" t="s">
        <v>51</v>
      </c>
      <c r="B34" s="20">
        <v>645.79999999999995</v>
      </c>
      <c r="C34" s="20">
        <v>2793.5</v>
      </c>
      <c r="D34" s="20">
        <v>1182.9000000000001</v>
      </c>
      <c r="E34" s="20">
        <v>1078.5999999999999</v>
      </c>
      <c r="F34" s="20">
        <v>736.5</v>
      </c>
      <c r="G34" s="20">
        <v>125.6</v>
      </c>
    </row>
    <row r="35" spans="1:7" ht="16.5" thickBot="1" x14ac:dyDescent="0.3">
      <c r="A35" s="20" t="s">
        <v>52</v>
      </c>
      <c r="B35" s="20">
        <v>1246.0999999999999</v>
      </c>
      <c r="C35" s="20">
        <v>1014.7</v>
      </c>
      <c r="D35" s="20">
        <v>1514.9</v>
      </c>
      <c r="E35" s="20">
        <v>1227.5999999999999</v>
      </c>
      <c r="F35" s="20">
        <v>379.5</v>
      </c>
      <c r="G35" s="20">
        <v>1543.9</v>
      </c>
    </row>
    <row r="36" spans="1:7" ht="16.5" thickBot="1" x14ac:dyDescent="0.3">
      <c r="A36" s="20" t="s">
        <v>53</v>
      </c>
      <c r="B36" s="20">
        <v>89.1</v>
      </c>
      <c r="C36" s="20">
        <v>19.600000000000001</v>
      </c>
      <c r="D36" s="20">
        <v>36.5</v>
      </c>
      <c r="E36" s="20">
        <v>81.3</v>
      </c>
      <c r="F36" s="20">
        <v>14.6</v>
      </c>
      <c r="G36" s="20">
        <v>974.8</v>
      </c>
    </row>
    <row r="37" spans="1:7" ht="15.75" thickBot="1" x14ac:dyDescent="0.3"/>
    <row r="38" spans="1:7" ht="16.5" thickBot="1" x14ac:dyDescent="0.3">
      <c r="A38" s="6" t="s">
        <v>20</v>
      </c>
      <c r="B38" s="2">
        <v>2015</v>
      </c>
      <c r="C38" s="2">
        <f>IF(A38=$A$3,HLOOKUP(B38,$A$2:$G$36,2,0))</f>
        <v>21.2</v>
      </c>
    </row>
    <row r="39" spans="1:7" ht="16.5" thickBot="1" x14ac:dyDescent="0.3">
      <c r="A39" s="6" t="s">
        <v>20</v>
      </c>
      <c r="B39" s="2">
        <v>2016</v>
      </c>
      <c r="C39" s="2">
        <f>IF(A39=$A$3,HLOOKUP(B39,$A$2:$G$36,2,0))</f>
        <v>134.5</v>
      </c>
    </row>
    <row r="40" spans="1:7" ht="16.5" thickBot="1" x14ac:dyDescent="0.3">
      <c r="A40" s="6" t="s">
        <v>20</v>
      </c>
      <c r="B40" s="2">
        <v>2017</v>
      </c>
      <c r="C40" s="2">
        <f t="shared" ref="C40:C43" si="0">IF(A40=$A$3,HLOOKUP(B40,$A$2:$G$36,2,0))</f>
        <v>23.2</v>
      </c>
    </row>
    <row r="41" spans="1:7" ht="16.5" thickBot="1" x14ac:dyDescent="0.3">
      <c r="A41" s="6" t="s">
        <v>20</v>
      </c>
      <c r="B41" s="2">
        <v>2018</v>
      </c>
      <c r="C41" s="2">
        <f t="shared" si="0"/>
        <v>71.2</v>
      </c>
    </row>
    <row r="42" spans="1:7" ht="16.5" thickBot="1" x14ac:dyDescent="0.3">
      <c r="A42" s="6" t="s">
        <v>20</v>
      </c>
      <c r="B42" s="2">
        <v>2019</v>
      </c>
      <c r="C42" s="2">
        <f t="shared" si="0"/>
        <v>137.5</v>
      </c>
    </row>
    <row r="43" spans="1:7" ht="16.5" thickBot="1" x14ac:dyDescent="0.3">
      <c r="A43" s="6" t="s">
        <v>20</v>
      </c>
      <c r="B43" s="2">
        <v>2020</v>
      </c>
      <c r="C43" s="2">
        <f t="shared" si="0"/>
        <v>51.1</v>
      </c>
    </row>
    <row r="44" spans="1:7" ht="16.5" thickBot="1" x14ac:dyDescent="0.3">
      <c r="A44" s="6" t="s">
        <v>21</v>
      </c>
      <c r="B44" s="2">
        <v>2015</v>
      </c>
      <c r="C44" s="2">
        <f>IF(A44=$A$4,HLOOKUP(B44,$A$2:$G$36,3,0))</f>
        <v>495.8</v>
      </c>
    </row>
    <row r="45" spans="1:7" ht="16.5" thickBot="1" x14ac:dyDescent="0.3">
      <c r="A45" s="6" t="s">
        <v>21</v>
      </c>
      <c r="B45" s="2">
        <v>2016</v>
      </c>
      <c r="C45" s="2">
        <f t="shared" ref="C45:C48" si="1">IF(A45=$A$4,HLOOKUP(B45,$A$2:$G$36,3,0))</f>
        <v>450.6</v>
      </c>
    </row>
    <row r="46" spans="1:7" ht="16.5" thickBot="1" x14ac:dyDescent="0.3">
      <c r="A46" s="6" t="s">
        <v>21</v>
      </c>
      <c r="B46" s="2">
        <v>2017</v>
      </c>
      <c r="C46" s="2">
        <f t="shared" si="1"/>
        <v>886.9</v>
      </c>
    </row>
    <row r="47" spans="1:7" ht="16.5" thickBot="1" x14ac:dyDescent="0.3">
      <c r="A47" s="6" t="s">
        <v>21</v>
      </c>
      <c r="B47" s="2">
        <v>2018</v>
      </c>
      <c r="C47" s="2">
        <f t="shared" si="1"/>
        <v>1002.5</v>
      </c>
    </row>
    <row r="48" spans="1:7" ht="16.5" thickBot="1" x14ac:dyDescent="0.3">
      <c r="A48" s="6" t="s">
        <v>21</v>
      </c>
      <c r="B48" s="2">
        <v>2019</v>
      </c>
      <c r="C48" s="2">
        <f t="shared" si="1"/>
        <v>426</v>
      </c>
    </row>
    <row r="49" spans="1:3" ht="16.5" thickBot="1" x14ac:dyDescent="0.3">
      <c r="A49" s="6" t="s">
        <v>21</v>
      </c>
      <c r="B49" s="2">
        <v>2020</v>
      </c>
      <c r="C49" s="2">
        <f>IF(A49=$A$4,HLOOKUP(B49,$A$2:$G$36,3,0))</f>
        <v>293.3</v>
      </c>
    </row>
    <row r="50" spans="1:3" ht="16.5" thickBot="1" x14ac:dyDescent="0.3">
      <c r="A50" s="6" t="s">
        <v>22</v>
      </c>
      <c r="B50" s="2">
        <v>2015</v>
      </c>
      <c r="C50" s="2">
        <f>IF(A50=$A$5,HLOOKUP(B50,$A$2:$G$36,4,0))</f>
        <v>2542</v>
      </c>
    </row>
    <row r="51" spans="1:3" ht="16.5" thickBot="1" x14ac:dyDescent="0.3">
      <c r="A51" s="6" t="s">
        <v>22</v>
      </c>
      <c r="B51" s="2">
        <v>2016</v>
      </c>
      <c r="C51" s="2">
        <f t="shared" ref="C51:C55" si="2">IF(A51=$A$5,HLOOKUP(B51,$A$2:$G$36,4,0))</f>
        <v>2912.1</v>
      </c>
    </row>
    <row r="52" spans="1:3" ht="16.5" thickBot="1" x14ac:dyDescent="0.3">
      <c r="A52" s="6" t="s">
        <v>22</v>
      </c>
      <c r="B52" s="2">
        <v>2017</v>
      </c>
      <c r="C52" s="2">
        <f t="shared" si="2"/>
        <v>3047.5</v>
      </c>
    </row>
    <row r="53" spans="1:3" ht="16.5" thickBot="1" x14ac:dyDescent="0.3">
      <c r="A53" s="6" t="s">
        <v>22</v>
      </c>
      <c r="B53" s="2">
        <v>2018</v>
      </c>
      <c r="C53" s="2">
        <f t="shared" si="2"/>
        <v>2827.3</v>
      </c>
    </row>
    <row r="54" spans="1:3" ht="16.5" thickBot="1" x14ac:dyDescent="0.3">
      <c r="A54" s="6" t="s">
        <v>22</v>
      </c>
      <c r="B54" s="2">
        <v>2019</v>
      </c>
      <c r="C54" s="2">
        <f t="shared" si="2"/>
        <v>1868.2</v>
      </c>
    </row>
    <row r="55" spans="1:3" ht="16.5" thickBot="1" x14ac:dyDescent="0.3">
      <c r="A55" s="6" t="s">
        <v>22</v>
      </c>
      <c r="B55" s="2">
        <v>2020</v>
      </c>
      <c r="C55" s="2">
        <f t="shared" si="2"/>
        <v>2143.6</v>
      </c>
    </row>
    <row r="56" spans="1:3" ht="16.5" thickBot="1" x14ac:dyDescent="0.3">
      <c r="A56" s="6" t="s">
        <v>23</v>
      </c>
      <c r="B56" s="2">
        <v>2015</v>
      </c>
      <c r="C56" s="2">
        <f>IF(A56=$A$6,HLOOKUP(B56,$A$2:$G$36,5,0))</f>
        <v>20.6</v>
      </c>
    </row>
    <row r="57" spans="1:3" ht="16.5" thickBot="1" x14ac:dyDescent="0.3">
      <c r="A57" s="6" t="s">
        <v>23</v>
      </c>
      <c r="B57" s="2">
        <v>2016</v>
      </c>
      <c r="C57" s="2">
        <f t="shared" ref="C57:C61" si="3">IF(A57=$A$6,HLOOKUP(B57,$A$2:$G$36,5,0))</f>
        <v>55.7</v>
      </c>
    </row>
    <row r="58" spans="1:3" ht="16.5" thickBot="1" x14ac:dyDescent="0.3">
      <c r="A58" s="6" t="s">
        <v>23</v>
      </c>
      <c r="B58" s="2">
        <v>2017</v>
      </c>
      <c r="C58" s="2">
        <f t="shared" si="3"/>
        <v>138.69999999999999</v>
      </c>
    </row>
    <row r="59" spans="1:3" ht="16.5" thickBot="1" x14ac:dyDescent="0.3">
      <c r="A59" s="6" t="s">
        <v>23</v>
      </c>
      <c r="B59" s="2">
        <v>2018</v>
      </c>
      <c r="C59" s="2">
        <f t="shared" si="3"/>
        <v>136.6</v>
      </c>
    </row>
    <row r="60" spans="1:3" ht="16.5" thickBot="1" x14ac:dyDescent="0.3">
      <c r="A60" s="6" t="s">
        <v>23</v>
      </c>
      <c r="B60" s="2">
        <v>2019</v>
      </c>
      <c r="C60" s="2">
        <f t="shared" si="3"/>
        <v>144.80000000000001</v>
      </c>
    </row>
    <row r="61" spans="1:3" ht="16.5" thickBot="1" x14ac:dyDescent="0.3">
      <c r="A61" s="6" t="s">
        <v>23</v>
      </c>
      <c r="B61" s="2">
        <v>2020</v>
      </c>
      <c r="C61" s="2">
        <f t="shared" si="3"/>
        <v>192.3</v>
      </c>
    </row>
    <row r="62" spans="1:3" ht="16.5" thickBot="1" x14ac:dyDescent="0.3">
      <c r="A62" s="6" t="s">
        <v>24</v>
      </c>
      <c r="B62" s="2">
        <v>2015</v>
      </c>
      <c r="C62" s="2">
        <f>IF(A62=$A$7,HLOOKUP(B62,$A$2:$G$36,6,0))</f>
        <v>3619.4</v>
      </c>
    </row>
    <row r="63" spans="1:3" ht="16.5" thickBot="1" x14ac:dyDescent="0.3">
      <c r="A63" s="6" t="s">
        <v>24</v>
      </c>
      <c r="B63" s="2">
        <v>2016</v>
      </c>
      <c r="C63" s="2">
        <f t="shared" ref="C63:C67" si="4">IF(A63=$A$7,HLOOKUP(B63,$A$2:$G$36,6,0))</f>
        <v>3398.2</v>
      </c>
    </row>
    <row r="64" spans="1:3" ht="16.5" thickBot="1" x14ac:dyDescent="0.3">
      <c r="A64" s="6" t="s">
        <v>24</v>
      </c>
      <c r="B64" s="2">
        <v>2017</v>
      </c>
      <c r="C64" s="2">
        <f t="shared" si="4"/>
        <v>4595</v>
      </c>
    </row>
    <row r="65" spans="1:3" ht="16.5" thickBot="1" x14ac:dyDescent="0.3">
      <c r="A65" s="6" t="s">
        <v>24</v>
      </c>
      <c r="B65" s="2">
        <v>2018</v>
      </c>
      <c r="C65" s="2">
        <f t="shared" si="4"/>
        <v>4857.7</v>
      </c>
    </row>
    <row r="66" spans="1:3" ht="16.5" thickBot="1" x14ac:dyDescent="0.3">
      <c r="A66" s="6" t="s">
        <v>24</v>
      </c>
      <c r="B66" s="2">
        <v>2019</v>
      </c>
      <c r="C66" s="2">
        <f t="shared" si="4"/>
        <v>4123</v>
      </c>
    </row>
    <row r="67" spans="1:3" ht="16.5" thickBot="1" x14ac:dyDescent="0.3">
      <c r="A67" s="6" t="s">
        <v>24</v>
      </c>
      <c r="B67" s="2">
        <v>2020</v>
      </c>
      <c r="C67" s="2">
        <f t="shared" si="4"/>
        <v>9.6999999999999993</v>
      </c>
    </row>
    <row r="68" spans="1:3" ht="16.5" thickBot="1" x14ac:dyDescent="0.3">
      <c r="A68" s="6" t="s">
        <v>25</v>
      </c>
      <c r="B68" s="2">
        <v>2015</v>
      </c>
      <c r="C68" s="2">
        <f>IF(A68=$A$8,HLOOKUP(B68,$A$2:$G$36,7,0))</f>
        <v>6.9</v>
      </c>
    </row>
    <row r="69" spans="1:3" ht="16.5" thickBot="1" x14ac:dyDescent="0.3">
      <c r="A69" s="6" t="s">
        <v>25</v>
      </c>
      <c r="B69" s="2">
        <v>2016</v>
      </c>
      <c r="C69" s="2">
        <f t="shared" ref="C69:C73" si="5">IF(A69=$A$8,HLOOKUP(B69,$A$2:$G$36,7,0))</f>
        <v>12.7</v>
      </c>
    </row>
    <row r="70" spans="1:3" ht="16.5" thickBot="1" x14ac:dyDescent="0.3">
      <c r="A70" s="6" t="s">
        <v>25</v>
      </c>
      <c r="B70" s="2">
        <v>2017</v>
      </c>
      <c r="C70" s="2">
        <f t="shared" si="5"/>
        <v>41.3</v>
      </c>
    </row>
    <row r="71" spans="1:3" ht="16.5" thickBot="1" x14ac:dyDescent="0.3">
      <c r="A71" s="6" t="s">
        <v>25</v>
      </c>
      <c r="B71" s="2">
        <v>2018</v>
      </c>
      <c r="C71" s="2">
        <f t="shared" si="5"/>
        <v>40.799999999999997</v>
      </c>
    </row>
    <row r="72" spans="1:3" ht="16.5" thickBot="1" x14ac:dyDescent="0.3">
      <c r="A72" s="6" t="s">
        <v>25</v>
      </c>
      <c r="B72" s="2">
        <v>2019</v>
      </c>
      <c r="C72" s="2">
        <f t="shared" si="5"/>
        <v>171.3</v>
      </c>
    </row>
    <row r="73" spans="1:3" ht="16.5" thickBot="1" x14ac:dyDescent="0.3">
      <c r="A73" s="6" t="s">
        <v>25</v>
      </c>
      <c r="B73" s="2">
        <v>2020</v>
      </c>
      <c r="C73" s="2">
        <f t="shared" si="5"/>
        <v>3613.3</v>
      </c>
    </row>
    <row r="74" spans="1:3" ht="16.5" thickBot="1" x14ac:dyDescent="0.3">
      <c r="A74" s="6" t="s">
        <v>26</v>
      </c>
      <c r="B74" s="2">
        <v>2015</v>
      </c>
      <c r="C74" s="2">
        <f>IF(A74=$A$9,HLOOKUP(B74,$A$2:$G$36,8,0))</f>
        <v>107.7</v>
      </c>
    </row>
    <row r="75" spans="1:3" ht="16.5" thickBot="1" x14ac:dyDescent="0.3">
      <c r="A75" s="6" t="s">
        <v>26</v>
      </c>
      <c r="B75" s="2">
        <v>2016</v>
      </c>
      <c r="C75" s="2">
        <f t="shared" ref="C75:C79" si="6">IF(A75=$A$9,HLOOKUP(B75,$A$2:$G$36,8,0))</f>
        <v>61</v>
      </c>
    </row>
    <row r="76" spans="1:3" ht="16.5" thickBot="1" x14ac:dyDescent="0.3">
      <c r="A76" s="6" t="s">
        <v>26</v>
      </c>
      <c r="B76" s="2">
        <v>2017</v>
      </c>
      <c r="C76" s="2">
        <f t="shared" si="6"/>
        <v>76.8</v>
      </c>
    </row>
    <row r="77" spans="1:3" ht="16.5" thickBot="1" x14ac:dyDescent="0.3">
      <c r="A77" s="6" t="s">
        <v>26</v>
      </c>
      <c r="B77" s="2">
        <v>2018</v>
      </c>
      <c r="C77" s="2">
        <f t="shared" si="6"/>
        <v>101.9</v>
      </c>
    </row>
    <row r="78" spans="1:3" ht="16.5" thickBot="1" x14ac:dyDescent="0.3">
      <c r="A78" s="6" t="s">
        <v>26</v>
      </c>
      <c r="B78" s="2">
        <v>2019</v>
      </c>
      <c r="C78" s="2">
        <f t="shared" si="6"/>
        <v>54.6</v>
      </c>
    </row>
    <row r="79" spans="1:3" ht="16.5" thickBot="1" x14ac:dyDescent="0.3">
      <c r="A79" s="6" t="s">
        <v>26</v>
      </c>
      <c r="B79" s="2">
        <v>2020</v>
      </c>
      <c r="C79" s="2">
        <f t="shared" si="6"/>
        <v>67.599999999999994</v>
      </c>
    </row>
    <row r="80" spans="1:3" ht="16.5" thickBot="1" x14ac:dyDescent="0.3">
      <c r="A80" s="6" t="s">
        <v>27</v>
      </c>
      <c r="B80" s="2">
        <v>2015</v>
      </c>
      <c r="C80" s="2">
        <f>IF(A80=$A$10,HLOOKUP(B80,$A$2:$G$36,9,0))</f>
        <v>5738.7</v>
      </c>
    </row>
    <row r="81" spans="1:3" ht="16.5" thickBot="1" x14ac:dyDescent="0.3">
      <c r="A81" s="6" t="s">
        <v>27</v>
      </c>
      <c r="B81" s="2">
        <v>2016</v>
      </c>
      <c r="C81" s="2">
        <f t="shared" ref="C81:C85" si="7">IF(A81=$A$10,HLOOKUP(B81,$A$2:$G$36,9,0))</f>
        <v>5470.9</v>
      </c>
    </row>
    <row r="82" spans="1:3" ht="16.5" thickBot="1" x14ac:dyDescent="0.3">
      <c r="A82" s="6" t="s">
        <v>27</v>
      </c>
      <c r="B82" s="2">
        <v>2017</v>
      </c>
      <c r="C82" s="2">
        <f t="shared" si="7"/>
        <v>5142.8999999999996</v>
      </c>
    </row>
    <row r="83" spans="1:3" ht="16.5" thickBot="1" x14ac:dyDescent="0.3">
      <c r="A83" s="6" t="s">
        <v>27</v>
      </c>
      <c r="B83" s="2">
        <v>2018</v>
      </c>
      <c r="C83" s="2">
        <f t="shared" si="7"/>
        <v>5573.5</v>
      </c>
    </row>
    <row r="84" spans="1:3" ht="16.5" thickBot="1" x14ac:dyDescent="0.3">
      <c r="A84" s="6" t="s">
        <v>27</v>
      </c>
      <c r="B84" s="2">
        <v>2019</v>
      </c>
      <c r="C84" s="2">
        <f t="shared" si="7"/>
        <v>5881</v>
      </c>
    </row>
    <row r="85" spans="1:3" ht="16.5" thickBot="1" x14ac:dyDescent="0.3">
      <c r="A85" s="6" t="s">
        <v>27</v>
      </c>
      <c r="B85" s="2">
        <v>2020</v>
      </c>
      <c r="C85" s="2">
        <f t="shared" si="7"/>
        <v>27</v>
      </c>
    </row>
    <row r="86" spans="1:3" ht="16.5" thickBot="1" x14ac:dyDescent="0.3">
      <c r="A86" s="6" t="s">
        <v>28</v>
      </c>
      <c r="B86" s="2">
        <v>2015</v>
      </c>
      <c r="C86" s="2">
        <f>IF(A86=$A$11,HLOOKUP(B86,$A$2:$G$36,10,0))</f>
        <v>850.4</v>
      </c>
    </row>
    <row r="87" spans="1:3" ht="16.5" thickBot="1" x14ac:dyDescent="0.3">
      <c r="A87" s="6" t="s">
        <v>28</v>
      </c>
      <c r="B87" s="2">
        <v>2016</v>
      </c>
      <c r="C87" s="2">
        <f t="shared" ref="C87:C91" si="8">IF(A87=$A$11,HLOOKUP(B87,$A$2:$G$36,10,0))</f>
        <v>1030.8</v>
      </c>
    </row>
    <row r="88" spans="1:3" ht="16.5" thickBot="1" x14ac:dyDescent="0.3">
      <c r="A88" s="6" t="s">
        <v>28</v>
      </c>
      <c r="B88" s="2">
        <v>2017</v>
      </c>
      <c r="C88" s="2">
        <f t="shared" si="8"/>
        <v>2372.5</v>
      </c>
    </row>
    <row r="89" spans="1:3" ht="16.5" thickBot="1" x14ac:dyDescent="0.3">
      <c r="A89" s="6" t="s">
        <v>28</v>
      </c>
      <c r="B89" s="2">
        <v>2018</v>
      </c>
      <c r="C89" s="2">
        <f t="shared" si="8"/>
        <v>2372.6999999999998</v>
      </c>
    </row>
    <row r="90" spans="1:3" ht="16.5" thickBot="1" x14ac:dyDescent="0.3">
      <c r="A90" s="6" t="s">
        <v>28</v>
      </c>
      <c r="B90" s="2">
        <v>2019</v>
      </c>
      <c r="C90" s="2">
        <f t="shared" si="8"/>
        <v>2723.2</v>
      </c>
    </row>
    <row r="91" spans="1:3" ht="16.5" thickBot="1" x14ac:dyDescent="0.3">
      <c r="A91" s="6" t="s">
        <v>28</v>
      </c>
      <c r="B91" s="2">
        <v>2020</v>
      </c>
      <c r="C91" s="2">
        <f t="shared" si="8"/>
        <v>4793.7</v>
      </c>
    </row>
    <row r="92" spans="1:3" ht="16.5" thickBot="1" x14ac:dyDescent="0.3">
      <c r="A92" s="6" t="s">
        <v>29</v>
      </c>
      <c r="B92" s="2">
        <v>2015</v>
      </c>
      <c r="C92" s="2">
        <f>IF(A92=$A$12,HLOOKUP(B92,$A$2:$G$36,11,0))</f>
        <v>2593.4</v>
      </c>
    </row>
    <row r="93" spans="1:3" ht="16.5" thickBot="1" x14ac:dyDescent="0.3">
      <c r="A93" s="6" t="s">
        <v>29</v>
      </c>
      <c r="B93" s="2">
        <v>2016</v>
      </c>
      <c r="C93" s="2">
        <f t="shared" ref="C93:C97" si="9">IF(A93=$A$12,HLOOKUP(B93,$A$2:$G$36,11,0))</f>
        <v>1941</v>
      </c>
    </row>
    <row r="94" spans="1:3" ht="16.5" thickBot="1" x14ac:dyDescent="0.3">
      <c r="A94" s="6" t="s">
        <v>29</v>
      </c>
      <c r="B94" s="2">
        <v>2017</v>
      </c>
      <c r="C94" s="2">
        <f t="shared" si="9"/>
        <v>1566.7</v>
      </c>
    </row>
    <row r="95" spans="1:3" ht="16.5" thickBot="1" x14ac:dyDescent="0.3">
      <c r="A95" s="6" t="s">
        <v>29</v>
      </c>
      <c r="B95" s="2">
        <v>2018</v>
      </c>
      <c r="C95" s="2">
        <f t="shared" si="9"/>
        <v>1333.4</v>
      </c>
    </row>
    <row r="96" spans="1:3" ht="16.5" thickBot="1" x14ac:dyDescent="0.3">
      <c r="A96" s="6" t="s">
        <v>29</v>
      </c>
      <c r="B96" s="2">
        <v>2019</v>
      </c>
      <c r="C96" s="2">
        <f t="shared" si="9"/>
        <v>866.3</v>
      </c>
    </row>
    <row r="97" spans="1:3" ht="16.5" thickBot="1" x14ac:dyDescent="0.3">
      <c r="A97" s="6" t="s">
        <v>29</v>
      </c>
      <c r="B97" s="2">
        <v>2020</v>
      </c>
      <c r="C97" s="2">
        <f t="shared" si="9"/>
        <v>1363.6</v>
      </c>
    </row>
    <row r="98" spans="1:3" ht="16.5" thickBot="1" x14ac:dyDescent="0.3">
      <c r="A98" s="6" t="s">
        <v>30</v>
      </c>
      <c r="B98" s="2">
        <v>2015</v>
      </c>
      <c r="C98" s="2">
        <f>IF(A98=$A$13,HLOOKUP(B98,$A$2:$G$36,12,0))</f>
        <v>1335.7</v>
      </c>
    </row>
    <row r="99" spans="1:3" ht="16.5" thickBot="1" x14ac:dyDescent="0.3">
      <c r="A99" s="6" t="s">
        <v>30</v>
      </c>
      <c r="B99" s="2">
        <v>2016</v>
      </c>
      <c r="C99" s="2">
        <f t="shared" ref="C99:C103" si="10">IF(A99=$A$13,HLOOKUP(B99,$A$2:$G$36,12,0))</f>
        <v>630.70000000000005</v>
      </c>
    </row>
    <row r="100" spans="1:3" ht="16.5" thickBot="1" x14ac:dyDescent="0.3">
      <c r="A100" s="6" t="s">
        <v>30</v>
      </c>
      <c r="B100" s="2">
        <v>2017</v>
      </c>
      <c r="C100" s="2">
        <f t="shared" si="10"/>
        <v>568.4</v>
      </c>
    </row>
    <row r="101" spans="1:3" ht="16.5" thickBot="1" x14ac:dyDescent="0.3">
      <c r="A101" s="6" t="s">
        <v>30</v>
      </c>
      <c r="B101" s="2">
        <v>2018</v>
      </c>
      <c r="C101" s="2">
        <f t="shared" si="10"/>
        <v>491.9</v>
      </c>
    </row>
    <row r="102" spans="1:3" ht="16.5" thickBot="1" x14ac:dyDescent="0.3">
      <c r="A102" s="6" t="s">
        <v>30</v>
      </c>
      <c r="B102" s="2">
        <v>2019</v>
      </c>
      <c r="C102" s="2">
        <f t="shared" si="10"/>
        <v>532.29999999999995</v>
      </c>
    </row>
    <row r="103" spans="1:3" ht="16.5" thickBot="1" x14ac:dyDescent="0.3">
      <c r="A103" s="6" t="s">
        <v>30</v>
      </c>
      <c r="B103" s="2">
        <v>2020</v>
      </c>
      <c r="C103" s="2">
        <f t="shared" si="10"/>
        <v>1575.5</v>
      </c>
    </row>
    <row r="104" spans="1:3" ht="16.5" thickBot="1" x14ac:dyDescent="0.3">
      <c r="A104" s="6" t="s">
        <v>31</v>
      </c>
      <c r="B104" s="2">
        <v>2015</v>
      </c>
      <c r="C104" s="2">
        <f>IF(A104=$A$14,HLOOKUP(B104,$A$2:$G$36,13,0))</f>
        <v>961.2</v>
      </c>
    </row>
    <row r="105" spans="1:3" ht="16.5" thickBot="1" x14ac:dyDescent="0.3">
      <c r="A105" s="6" t="s">
        <v>31</v>
      </c>
      <c r="B105" s="2">
        <v>2016</v>
      </c>
      <c r="C105" s="2">
        <f t="shared" ref="C105:C109" si="11">IF(A105=$A$14,HLOOKUP(B105,$A$2:$G$36,13,0))</f>
        <v>249.4</v>
      </c>
    </row>
    <row r="106" spans="1:3" ht="16.5" thickBot="1" x14ac:dyDescent="0.3">
      <c r="A106" s="6" t="s">
        <v>31</v>
      </c>
      <c r="B106" s="2">
        <v>2017</v>
      </c>
      <c r="C106" s="2">
        <f t="shared" si="11"/>
        <v>243.8</v>
      </c>
    </row>
    <row r="107" spans="1:3" ht="16.5" thickBot="1" x14ac:dyDescent="0.3">
      <c r="A107" s="6" t="s">
        <v>31</v>
      </c>
      <c r="B107" s="2">
        <v>2018</v>
      </c>
      <c r="C107" s="2">
        <f t="shared" si="11"/>
        <v>129.19999999999999</v>
      </c>
    </row>
    <row r="108" spans="1:3" ht="16.5" thickBot="1" x14ac:dyDescent="0.3">
      <c r="A108" s="6" t="s">
        <v>31</v>
      </c>
      <c r="B108" s="2">
        <v>2019</v>
      </c>
      <c r="C108" s="2">
        <f t="shared" si="11"/>
        <v>372.9</v>
      </c>
    </row>
    <row r="109" spans="1:3" ht="16.5" thickBot="1" x14ac:dyDescent="0.3">
      <c r="A109" s="6" t="s">
        <v>31</v>
      </c>
      <c r="B109" s="2">
        <v>2020</v>
      </c>
      <c r="C109" s="2">
        <f t="shared" si="11"/>
        <v>759.3</v>
      </c>
    </row>
    <row r="110" spans="1:3" ht="16.5" thickBot="1" x14ac:dyDescent="0.3">
      <c r="A110" s="6" t="s">
        <v>32</v>
      </c>
      <c r="B110" s="2">
        <v>2015</v>
      </c>
      <c r="C110" s="2">
        <f>IF(A110=$A$15,HLOOKUP(B110,$A$2:$G$36,14,0))</f>
        <v>933.6</v>
      </c>
    </row>
    <row r="111" spans="1:3" ht="16.5" thickBot="1" x14ac:dyDescent="0.3">
      <c r="A111" s="6" t="s">
        <v>32</v>
      </c>
      <c r="B111" s="2">
        <v>2016</v>
      </c>
      <c r="C111" s="2">
        <f t="shared" ref="C111:C115" si="12">IF(A111=$A$15,HLOOKUP(B111,$A$2:$G$36,14,0))</f>
        <v>408.2</v>
      </c>
    </row>
    <row r="112" spans="1:3" ht="16.5" thickBot="1" x14ac:dyDescent="0.3">
      <c r="A112" s="6" t="s">
        <v>32</v>
      </c>
      <c r="B112" s="2">
        <v>2017</v>
      </c>
      <c r="C112" s="2">
        <f t="shared" si="12"/>
        <v>641</v>
      </c>
    </row>
    <row r="113" spans="1:3" ht="16.5" thickBot="1" x14ac:dyDescent="0.3">
      <c r="A113" s="6" t="s">
        <v>32</v>
      </c>
      <c r="B113" s="2">
        <v>2018</v>
      </c>
      <c r="C113" s="2">
        <f t="shared" si="12"/>
        <v>678.5</v>
      </c>
    </row>
    <row r="114" spans="1:3" ht="16.5" thickBot="1" x14ac:dyDescent="0.3">
      <c r="A114" s="6" t="s">
        <v>32</v>
      </c>
      <c r="B114" s="2">
        <v>2019</v>
      </c>
      <c r="C114" s="2">
        <f t="shared" si="12"/>
        <v>283.5</v>
      </c>
    </row>
    <row r="115" spans="1:3" ht="16.5" thickBot="1" x14ac:dyDescent="0.3">
      <c r="A115" s="6" t="s">
        <v>32</v>
      </c>
      <c r="B115" s="2">
        <v>2020</v>
      </c>
      <c r="C115" s="2">
        <f t="shared" si="12"/>
        <v>240.8</v>
      </c>
    </row>
    <row r="116" spans="1:3" ht="16.5" thickBot="1" x14ac:dyDescent="0.3">
      <c r="A116" s="6" t="s">
        <v>33</v>
      </c>
      <c r="B116" s="2">
        <v>2015</v>
      </c>
      <c r="C116" s="2">
        <f>IF(A116=$A$16,HLOOKUP(B116,$A$2:$G$36,15,0))</f>
        <v>2381.4</v>
      </c>
    </row>
    <row r="117" spans="1:3" ht="16.5" thickBot="1" x14ac:dyDescent="0.3">
      <c r="A117" s="6" t="s">
        <v>33</v>
      </c>
      <c r="B117" s="2">
        <v>2016</v>
      </c>
      <c r="C117" s="2">
        <f t="shared" ref="C117:C121" si="13">IF(A117=$A$16,HLOOKUP(B117,$A$2:$G$36,15,0))</f>
        <v>1139.5999999999999</v>
      </c>
    </row>
    <row r="118" spans="1:3" ht="16.5" thickBot="1" x14ac:dyDescent="0.3">
      <c r="A118" s="6" t="s">
        <v>33</v>
      </c>
      <c r="B118" s="2">
        <v>2017</v>
      </c>
      <c r="C118" s="2">
        <f t="shared" si="13"/>
        <v>1285.2</v>
      </c>
    </row>
    <row r="119" spans="1:3" ht="16.5" thickBot="1" x14ac:dyDescent="0.3">
      <c r="A119" s="6" t="s">
        <v>33</v>
      </c>
      <c r="B119" s="2">
        <v>2018</v>
      </c>
      <c r="C119" s="2">
        <f t="shared" si="13"/>
        <v>587.5</v>
      </c>
    </row>
    <row r="120" spans="1:3" ht="16.5" thickBot="1" x14ac:dyDescent="0.3">
      <c r="A120" s="6" t="s">
        <v>33</v>
      </c>
      <c r="B120" s="2">
        <v>2019</v>
      </c>
      <c r="C120" s="2">
        <f t="shared" si="13"/>
        <v>861</v>
      </c>
    </row>
    <row r="121" spans="1:3" ht="16.5" thickBot="1" x14ac:dyDescent="0.3">
      <c r="A121" s="6" t="s">
        <v>33</v>
      </c>
      <c r="B121" s="2">
        <v>2020</v>
      </c>
      <c r="C121" s="2">
        <f t="shared" si="13"/>
        <v>177.6</v>
      </c>
    </row>
    <row r="122" spans="1:3" ht="16.5" thickBot="1" x14ac:dyDescent="0.3">
      <c r="A122" s="6" t="s">
        <v>34</v>
      </c>
      <c r="B122" s="2">
        <v>2015</v>
      </c>
      <c r="C122" s="2">
        <f>IF(A122=$A$17,HLOOKUP(B122,$A$2:$G$36,16,0))</f>
        <v>230.9</v>
      </c>
    </row>
    <row r="123" spans="1:3" ht="16.5" thickBot="1" x14ac:dyDescent="0.3">
      <c r="A123" s="6" t="s">
        <v>34</v>
      </c>
      <c r="B123" s="2">
        <v>2016</v>
      </c>
      <c r="C123" s="2">
        <f t="shared" ref="C123:C127" si="14">IF(A123=$A$17,HLOOKUP(B123,$A$2:$G$36,16,0))</f>
        <v>160.80000000000001</v>
      </c>
    </row>
    <row r="124" spans="1:3" ht="16.5" thickBot="1" x14ac:dyDescent="0.3">
      <c r="A124" s="6" t="s">
        <v>34</v>
      </c>
      <c r="B124" s="2">
        <v>2017</v>
      </c>
      <c r="C124" s="2">
        <f t="shared" si="14"/>
        <v>149</v>
      </c>
    </row>
    <row r="125" spans="1:3" ht="16.5" thickBot="1" x14ac:dyDescent="0.3">
      <c r="A125" s="6" t="s">
        <v>34</v>
      </c>
      <c r="B125" s="2">
        <v>2018</v>
      </c>
      <c r="C125" s="2">
        <f t="shared" si="14"/>
        <v>67.3</v>
      </c>
    </row>
    <row r="126" spans="1:3" ht="16.5" thickBot="1" x14ac:dyDescent="0.3">
      <c r="A126" s="6" t="s">
        <v>34</v>
      </c>
      <c r="B126" s="2">
        <v>2019</v>
      </c>
      <c r="C126" s="2">
        <f t="shared" si="14"/>
        <v>81.7</v>
      </c>
    </row>
    <row r="127" spans="1:3" ht="16.5" thickBot="1" x14ac:dyDescent="0.3">
      <c r="A127" s="6" t="s">
        <v>34</v>
      </c>
      <c r="B127" s="2">
        <v>2020</v>
      </c>
      <c r="C127" s="2">
        <f t="shared" si="14"/>
        <v>378</v>
      </c>
    </row>
    <row r="128" spans="1:3" ht="16.5" thickBot="1" x14ac:dyDescent="0.3">
      <c r="A128" s="6" t="s">
        <v>35</v>
      </c>
      <c r="B128" s="2">
        <v>2015</v>
      </c>
      <c r="C128" s="2">
        <f>IF(A128=$A$18,HLOOKUP(B128,$A$2:$G$36,17,0))</f>
        <v>82.7</v>
      </c>
    </row>
    <row r="129" spans="1:3" ht="16.5" thickBot="1" x14ac:dyDescent="0.3">
      <c r="A129" s="6" t="s">
        <v>35</v>
      </c>
      <c r="B129" s="2">
        <v>2016</v>
      </c>
      <c r="C129" s="2">
        <f t="shared" ref="C129:C133" si="15">IF(A129=$A$18,HLOOKUP(B129,$A$2:$G$36,17,0))</f>
        <v>52.7</v>
      </c>
    </row>
    <row r="130" spans="1:3" ht="16.5" thickBot="1" x14ac:dyDescent="0.3">
      <c r="A130" s="6" t="s">
        <v>35</v>
      </c>
      <c r="B130" s="2">
        <v>2017</v>
      </c>
      <c r="C130" s="2">
        <f t="shared" si="15"/>
        <v>153.1</v>
      </c>
    </row>
    <row r="131" spans="1:3" ht="16.5" thickBot="1" x14ac:dyDescent="0.3">
      <c r="A131" s="6" t="s">
        <v>35</v>
      </c>
      <c r="B131" s="2">
        <v>2018</v>
      </c>
      <c r="C131" s="2">
        <f t="shared" si="15"/>
        <v>46.3</v>
      </c>
    </row>
    <row r="132" spans="1:3" ht="16.5" thickBot="1" x14ac:dyDescent="0.3">
      <c r="A132" s="6" t="s">
        <v>35</v>
      </c>
      <c r="B132" s="2">
        <v>2019</v>
      </c>
      <c r="C132" s="2">
        <f t="shared" si="15"/>
        <v>88.7</v>
      </c>
    </row>
    <row r="133" spans="1:3" ht="16.5" thickBot="1" x14ac:dyDescent="0.3">
      <c r="A133" s="6" t="s">
        <v>35</v>
      </c>
      <c r="B133" s="2">
        <v>2020</v>
      </c>
      <c r="C133" s="2">
        <f t="shared" si="15"/>
        <v>68.400000000000006</v>
      </c>
    </row>
    <row r="134" spans="1:3" ht="16.5" thickBot="1" x14ac:dyDescent="0.3">
      <c r="A134" s="6" t="s">
        <v>36</v>
      </c>
      <c r="B134" s="2">
        <v>2015</v>
      </c>
      <c r="C134" s="2">
        <f>IF(A134=$A$19,HLOOKUP(B134,$A$2:$G$36,18,0))</f>
        <v>640.4</v>
      </c>
    </row>
    <row r="135" spans="1:3" ht="16.5" thickBot="1" x14ac:dyDescent="0.3">
      <c r="A135" s="6" t="s">
        <v>36</v>
      </c>
      <c r="B135" s="2">
        <v>2016</v>
      </c>
      <c r="C135" s="2">
        <f t="shared" ref="C135:C139" si="16">IF(A135=$A$19,HLOOKUP(B135,$A$2:$G$36,18,0))</f>
        <v>519.1</v>
      </c>
    </row>
    <row r="136" spans="1:3" ht="16.5" thickBot="1" x14ac:dyDescent="0.3">
      <c r="A136" s="6" t="s">
        <v>36</v>
      </c>
      <c r="B136" s="2">
        <v>2017</v>
      </c>
      <c r="C136" s="2">
        <f t="shared" si="16"/>
        <v>1031.5</v>
      </c>
    </row>
    <row r="137" spans="1:3" ht="16.5" thickBot="1" x14ac:dyDescent="0.3">
      <c r="A137" s="6" t="s">
        <v>36</v>
      </c>
      <c r="B137" s="2">
        <v>2018</v>
      </c>
      <c r="C137" s="2">
        <f t="shared" si="16"/>
        <v>831.3</v>
      </c>
    </row>
    <row r="138" spans="1:3" ht="16.5" thickBot="1" x14ac:dyDescent="0.3">
      <c r="A138" s="6" t="s">
        <v>36</v>
      </c>
      <c r="B138" s="2">
        <v>2019</v>
      </c>
      <c r="C138" s="2">
        <f t="shared" si="16"/>
        <v>1363.4</v>
      </c>
    </row>
    <row r="139" spans="1:3" ht="16.5" thickBot="1" x14ac:dyDescent="0.3">
      <c r="A139" s="6" t="s">
        <v>36</v>
      </c>
      <c r="B139" s="2">
        <v>2020</v>
      </c>
      <c r="C139" s="2">
        <f t="shared" si="16"/>
        <v>48.4</v>
      </c>
    </row>
    <row r="140" spans="1:3" ht="16.5" thickBot="1" x14ac:dyDescent="0.3">
      <c r="A140" s="6" t="s">
        <v>37</v>
      </c>
      <c r="B140" s="2">
        <v>2015</v>
      </c>
      <c r="C140" s="2">
        <f>IF(A140=$A$20,HLOOKUP(B140,$A$2:$G$36,19,0))</f>
        <v>257.7</v>
      </c>
    </row>
    <row r="141" spans="1:3" ht="16.5" thickBot="1" x14ac:dyDescent="0.3">
      <c r="A141" s="6" t="s">
        <v>37</v>
      </c>
      <c r="B141" s="2">
        <v>2016</v>
      </c>
      <c r="C141" s="2">
        <f t="shared" ref="C141:C145" si="17">IF(A141=$A$20,HLOOKUP(B141,$A$2:$G$36,19,0))</f>
        <v>85.7</v>
      </c>
    </row>
    <row r="142" spans="1:3" ht="16.5" thickBot="1" x14ac:dyDescent="0.3">
      <c r="A142" s="6" t="s">
        <v>37</v>
      </c>
      <c r="B142" s="2">
        <v>2017</v>
      </c>
      <c r="C142" s="2">
        <f t="shared" si="17"/>
        <v>120.6</v>
      </c>
    </row>
    <row r="143" spans="1:3" ht="16.5" thickBot="1" x14ac:dyDescent="0.3">
      <c r="A143" s="6" t="s">
        <v>37</v>
      </c>
      <c r="B143" s="2">
        <v>2018</v>
      </c>
      <c r="C143" s="2">
        <f t="shared" si="17"/>
        <v>132.30000000000001</v>
      </c>
    </row>
    <row r="144" spans="1:3" ht="16.5" thickBot="1" x14ac:dyDescent="0.3">
      <c r="A144" s="6" t="s">
        <v>37</v>
      </c>
      <c r="B144" s="2">
        <v>2019</v>
      </c>
      <c r="C144" s="2">
        <f t="shared" si="17"/>
        <v>155.19999999999999</v>
      </c>
    </row>
    <row r="145" spans="1:3" ht="16.5" thickBot="1" x14ac:dyDescent="0.3">
      <c r="A145" s="6" t="s">
        <v>37</v>
      </c>
      <c r="B145" s="2">
        <v>2020</v>
      </c>
      <c r="C145" s="2">
        <f t="shared" si="17"/>
        <v>1649.4</v>
      </c>
    </row>
    <row r="146" spans="1:3" ht="16.5" thickBot="1" x14ac:dyDescent="0.3">
      <c r="A146" s="6" t="s">
        <v>38</v>
      </c>
      <c r="B146" s="2">
        <v>2015</v>
      </c>
      <c r="C146" s="2">
        <f>IF(A146=$A$21,HLOOKUP(B146,$A$2:$G$36,20,0))</f>
        <v>82.4</v>
      </c>
    </row>
    <row r="147" spans="1:3" ht="16.5" thickBot="1" x14ac:dyDescent="0.3">
      <c r="A147" s="6" t="s">
        <v>38</v>
      </c>
      <c r="B147" s="2">
        <v>2016</v>
      </c>
      <c r="C147" s="2">
        <f t="shared" ref="C147:C151" si="18">IF(A147=$A$21,HLOOKUP(B147,$A$2:$G$36,20,0))</f>
        <v>102.6</v>
      </c>
    </row>
    <row r="148" spans="1:3" ht="16.5" thickBot="1" x14ac:dyDescent="0.3">
      <c r="A148" s="6" t="s">
        <v>38</v>
      </c>
      <c r="B148" s="2">
        <v>2017</v>
      </c>
      <c r="C148" s="2">
        <f t="shared" si="18"/>
        <v>212</v>
      </c>
    </row>
    <row r="149" spans="1:3" ht="16.5" thickBot="1" x14ac:dyDescent="0.3">
      <c r="A149" s="6" t="s">
        <v>38</v>
      </c>
      <c r="B149" s="2">
        <v>2018</v>
      </c>
      <c r="C149" s="2">
        <f t="shared" si="18"/>
        <v>8</v>
      </c>
    </row>
    <row r="150" spans="1:3" ht="16.5" thickBot="1" x14ac:dyDescent="0.3">
      <c r="A150" s="6" t="s">
        <v>38</v>
      </c>
      <c r="B150" s="2">
        <v>2019</v>
      </c>
      <c r="C150" s="2">
        <f t="shared" si="18"/>
        <v>33</v>
      </c>
    </row>
    <row r="151" spans="1:3" ht="16.5" thickBot="1" x14ac:dyDescent="0.3">
      <c r="A151" s="6" t="s">
        <v>38</v>
      </c>
      <c r="B151" s="2">
        <v>2020</v>
      </c>
      <c r="C151" s="2">
        <f t="shared" si="18"/>
        <v>498.4</v>
      </c>
    </row>
    <row r="152" spans="1:3" ht="16.5" thickBot="1" x14ac:dyDescent="0.3">
      <c r="A152" s="6" t="s">
        <v>39</v>
      </c>
      <c r="B152" s="2">
        <v>2015</v>
      </c>
      <c r="C152" s="2">
        <f>IF(A152=$A$22,HLOOKUP(B152,$A$2:$G$36,21,0))</f>
        <v>203.8</v>
      </c>
    </row>
    <row r="153" spans="1:3" ht="16.5" thickBot="1" x14ac:dyDescent="0.3">
      <c r="A153" s="6" t="s">
        <v>39</v>
      </c>
      <c r="B153" s="2">
        <v>2016</v>
      </c>
      <c r="C153" s="2">
        <f t="shared" ref="C153:C157" si="19">IF(A153=$A$22,HLOOKUP(B153,$A$2:$G$36,21,0))</f>
        <v>438.9</v>
      </c>
    </row>
    <row r="154" spans="1:3" ht="16.5" thickBot="1" x14ac:dyDescent="0.3">
      <c r="A154" s="6" t="s">
        <v>39</v>
      </c>
      <c r="B154" s="2">
        <v>2017</v>
      </c>
      <c r="C154" s="2">
        <f t="shared" si="19"/>
        <v>228.1</v>
      </c>
    </row>
    <row r="155" spans="1:3" ht="16.5" thickBot="1" x14ac:dyDescent="0.3">
      <c r="A155" s="6" t="s">
        <v>39</v>
      </c>
      <c r="B155" s="2">
        <v>2018</v>
      </c>
      <c r="C155" s="2">
        <f t="shared" si="19"/>
        <v>362.8</v>
      </c>
    </row>
    <row r="156" spans="1:3" ht="16.5" thickBot="1" x14ac:dyDescent="0.3">
      <c r="A156" s="6" t="s">
        <v>39</v>
      </c>
      <c r="B156" s="2">
        <v>2019</v>
      </c>
      <c r="C156" s="2">
        <f t="shared" si="19"/>
        <v>1008.5</v>
      </c>
    </row>
    <row r="157" spans="1:3" ht="16.5" thickBot="1" x14ac:dyDescent="0.3">
      <c r="A157" s="6" t="s">
        <v>39</v>
      </c>
      <c r="B157" s="2">
        <v>2020</v>
      </c>
      <c r="C157" s="2">
        <f t="shared" si="19"/>
        <v>176.7</v>
      </c>
    </row>
    <row r="158" spans="1:3" ht="16.5" thickBot="1" x14ac:dyDescent="0.3">
      <c r="A158" s="6" t="s">
        <v>40</v>
      </c>
      <c r="B158" s="2">
        <v>2015</v>
      </c>
      <c r="C158" s="2">
        <f>IF(A158=$A$23,HLOOKUP(B158,$A$2:$G$36,22,0))</f>
        <v>699.4</v>
      </c>
    </row>
    <row r="159" spans="1:3" ht="16.5" thickBot="1" x14ac:dyDescent="0.3">
      <c r="A159" s="6" t="s">
        <v>40</v>
      </c>
      <c r="B159" s="2">
        <v>2016</v>
      </c>
      <c r="C159" s="2">
        <f t="shared" ref="C159:C163" si="20">IF(A159=$A$23,HLOOKUP(B159,$A$2:$G$36,22,0))</f>
        <v>439</v>
      </c>
    </row>
    <row r="160" spans="1:3" ht="16.5" thickBot="1" x14ac:dyDescent="0.3">
      <c r="A160" s="6" t="s">
        <v>40</v>
      </c>
      <c r="B160" s="2">
        <v>2017</v>
      </c>
      <c r="C160" s="2">
        <f t="shared" si="20"/>
        <v>132.1</v>
      </c>
    </row>
    <row r="161" spans="1:3" ht="16.5" thickBot="1" x14ac:dyDescent="0.3">
      <c r="A161" s="6" t="s">
        <v>40</v>
      </c>
      <c r="B161" s="2">
        <v>2018</v>
      </c>
      <c r="C161" s="2">
        <f t="shared" si="20"/>
        <v>251.6</v>
      </c>
    </row>
    <row r="162" spans="1:3" ht="16.5" thickBot="1" x14ac:dyDescent="0.3">
      <c r="A162" s="6" t="s">
        <v>40</v>
      </c>
      <c r="B162" s="2">
        <v>2019</v>
      </c>
      <c r="C162" s="2">
        <f t="shared" si="20"/>
        <v>270.7</v>
      </c>
    </row>
    <row r="163" spans="1:3" ht="16.5" thickBot="1" x14ac:dyDescent="0.3">
      <c r="A163" s="6" t="s">
        <v>40</v>
      </c>
      <c r="B163" s="2">
        <v>2020</v>
      </c>
      <c r="C163" s="2">
        <f t="shared" si="20"/>
        <v>2409</v>
      </c>
    </row>
    <row r="164" spans="1:3" ht="16.5" thickBot="1" x14ac:dyDescent="0.3">
      <c r="A164" s="6" t="s">
        <v>41</v>
      </c>
      <c r="B164" s="2">
        <v>2015</v>
      </c>
      <c r="C164" s="2">
        <f>IF(A164=$A$24,HLOOKUP(B164,$A$2:$G$36,23,0))</f>
        <v>69.900000000000006</v>
      </c>
    </row>
    <row r="165" spans="1:3" ht="16.5" thickBot="1" x14ac:dyDescent="0.3">
      <c r="A165" s="6" t="s">
        <v>41</v>
      </c>
      <c r="B165" s="2">
        <v>2016</v>
      </c>
      <c r="C165" s="2">
        <f t="shared" ref="C165:C169" si="21">IF(A165=$A$24,HLOOKUP(B165,$A$2:$G$36,23,0))</f>
        <v>58.2</v>
      </c>
    </row>
    <row r="166" spans="1:3" ht="16.5" thickBot="1" x14ac:dyDescent="0.3">
      <c r="A166" s="6" t="s">
        <v>41</v>
      </c>
      <c r="B166" s="2">
        <v>2017</v>
      </c>
      <c r="C166" s="2">
        <f t="shared" si="21"/>
        <v>139</v>
      </c>
    </row>
    <row r="167" spans="1:3" ht="16.5" thickBot="1" x14ac:dyDescent="0.3">
      <c r="A167" s="6" t="s">
        <v>41</v>
      </c>
      <c r="B167" s="2">
        <v>2018</v>
      </c>
      <c r="C167" s="2">
        <f t="shared" si="21"/>
        <v>100.4</v>
      </c>
    </row>
    <row r="168" spans="1:3" ht="16.5" thickBot="1" x14ac:dyDescent="0.3">
      <c r="A168" s="6" t="s">
        <v>41</v>
      </c>
      <c r="B168" s="2">
        <v>2019</v>
      </c>
      <c r="C168" s="2">
        <f t="shared" si="21"/>
        <v>126.8</v>
      </c>
    </row>
    <row r="169" spans="1:3" ht="16.5" thickBot="1" x14ac:dyDescent="0.3">
      <c r="A169" s="6" t="s">
        <v>41</v>
      </c>
      <c r="B169" s="2">
        <v>2020</v>
      </c>
      <c r="C169" s="2">
        <f t="shared" si="21"/>
        <v>302.10000000000002</v>
      </c>
    </row>
    <row r="170" spans="1:3" ht="16.5" thickBot="1" x14ac:dyDescent="0.3">
      <c r="A170" s="6" t="s">
        <v>42</v>
      </c>
      <c r="B170" s="2">
        <v>2015</v>
      </c>
      <c r="C170" s="2">
        <f>IF(A170=$A$25,HLOOKUP(B170,$A$2:$G$36,24,0))</f>
        <v>897</v>
      </c>
    </row>
    <row r="171" spans="1:3" ht="16.5" thickBot="1" x14ac:dyDescent="0.3">
      <c r="A171" s="6" t="s">
        <v>42</v>
      </c>
      <c r="B171" s="2">
        <v>2016</v>
      </c>
      <c r="C171" s="2">
        <f t="shared" ref="C171:C175" si="22">IF(A171=$A$25,HLOOKUP(B171,$A$2:$G$36,24,0))</f>
        <v>1168.4000000000001</v>
      </c>
    </row>
    <row r="172" spans="1:3" ht="16.5" thickBot="1" x14ac:dyDescent="0.3">
      <c r="A172" s="6" t="s">
        <v>42</v>
      </c>
      <c r="B172" s="2">
        <v>2017</v>
      </c>
      <c r="C172" s="2">
        <f t="shared" si="22"/>
        <v>1924.1</v>
      </c>
    </row>
    <row r="173" spans="1:3" ht="16.5" thickBot="1" x14ac:dyDescent="0.3">
      <c r="A173" s="6" t="s">
        <v>42</v>
      </c>
      <c r="B173" s="2">
        <v>2018</v>
      </c>
      <c r="C173" s="2">
        <f t="shared" si="22"/>
        <v>1132.3</v>
      </c>
    </row>
    <row r="174" spans="1:3" ht="16.5" thickBot="1" x14ac:dyDescent="0.3">
      <c r="A174" s="6" t="s">
        <v>42</v>
      </c>
      <c r="B174" s="2">
        <v>2019</v>
      </c>
      <c r="C174" s="2">
        <f t="shared" si="22"/>
        <v>941</v>
      </c>
    </row>
    <row r="175" spans="1:3" ht="16.5" thickBot="1" x14ac:dyDescent="0.3">
      <c r="A175" s="6" t="s">
        <v>42</v>
      </c>
      <c r="B175" s="2">
        <v>2020</v>
      </c>
      <c r="C175" s="2">
        <f t="shared" si="22"/>
        <v>81.3</v>
      </c>
    </row>
    <row r="176" spans="1:3" ht="16.5" thickBot="1" x14ac:dyDescent="0.3">
      <c r="A176" s="6" t="s">
        <v>43</v>
      </c>
      <c r="B176" s="2">
        <v>2015</v>
      </c>
      <c r="C176" s="2">
        <f>IF(A176=$A$26,HLOOKUP(B176,$A$2:$G$36,25,0))</f>
        <v>258.60000000000002</v>
      </c>
    </row>
    <row r="177" spans="1:3" ht="16.5" thickBot="1" x14ac:dyDescent="0.3">
      <c r="A177" s="6" t="s">
        <v>43</v>
      </c>
      <c r="B177" s="2">
        <v>2016</v>
      </c>
      <c r="C177" s="2">
        <f t="shared" ref="C177:C181" si="23">IF(A177=$A$26,HLOOKUP(B177,$A$2:$G$36,25,0))</f>
        <v>514.5</v>
      </c>
    </row>
    <row r="178" spans="1:3" ht="16.5" thickBot="1" x14ac:dyDescent="0.3">
      <c r="A178" s="6" t="s">
        <v>43</v>
      </c>
      <c r="B178" s="2">
        <v>2017</v>
      </c>
      <c r="C178" s="2">
        <f t="shared" si="23"/>
        <v>84.7</v>
      </c>
    </row>
    <row r="179" spans="1:3" ht="16.5" thickBot="1" x14ac:dyDescent="0.3">
      <c r="A179" s="6" t="s">
        <v>43</v>
      </c>
      <c r="B179" s="2">
        <v>2018</v>
      </c>
      <c r="C179" s="2">
        <f t="shared" si="23"/>
        <v>286.89999999999998</v>
      </c>
    </row>
    <row r="180" spans="1:3" ht="16.5" thickBot="1" x14ac:dyDescent="0.3">
      <c r="A180" s="6" t="s">
        <v>43</v>
      </c>
      <c r="B180" s="2">
        <v>2019</v>
      </c>
      <c r="C180" s="2">
        <f t="shared" si="23"/>
        <v>46.2</v>
      </c>
    </row>
    <row r="181" spans="1:3" ht="16.5" thickBot="1" x14ac:dyDescent="0.3">
      <c r="A181" s="6" t="s">
        <v>43</v>
      </c>
      <c r="B181" s="2">
        <v>2020</v>
      </c>
      <c r="C181" s="2">
        <f t="shared" si="23"/>
        <v>567.70000000000005</v>
      </c>
    </row>
    <row r="182" spans="1:3" ht="16.5" thickBot="1" x14ac:dyDescent="0.3">
      <c r="A182" s="6" t="s">
        <v>44</v>
      </c>
      <c r="B182" s="2">
        <v>2015</v>
      </c>
      <c r="C182" s="2">
        <f>IF(A182=$A$27,HLOOKUP(B182,$A$2:$G$36,26,0))</f>
        <v>653.4</v>
      </c>
    </row>
    <row r="183" spans="1:3" ht="16.5" thickBot="1" x14ac:dyDescent="0.3">
      <c r="A183" s="6" t="s">
        <v>44</v>
      </c>
      <c r="B183" s="2">
        <v>2016</v>
      </c>
      <c r="C183" s="2">
        <f t="shared" ref="C183:C187" si="24">IF(A183=$A$27,HLOOKUP(B183,$A$2:$G$36,26,0))</f>
        <v>869.1</v>
      </c>
    </row>
    <row r="184" spans="1:3" ht="16.5" thickBot="1" x14ac:dyDescent="0.3">
      <c r="A184" s="6" t="s">
        <v>44</v>
      </c>
      <c r="B184" s="2">
        <v>2017</v>
      </c>
      <c r="C184" s="2">
        <f t="shared" si="24"/>
        <v>1061.0999999999999</v>
      </c>
    </row>
    <row r="185" spans="1:3" ht="16.5" thickBot="1" x14ac:dyDescent="0.3">
      <c r="A185" s="6" t="s">
        <v>44</v>
      </c>
      <c r="B185" s="2">
        <v>2018</v>
      </c>
      <c r="C185" s="2">
        <f t="shared" si="24"/>
        <v>1032.9000000000001</v>
      </c>
    </row>
    <row r="186" spans="1:3" ht="16.5" thickBot="1" x14ac:dyDescent="0.3">
      <c r="A186" s="6" t="s">
        <v>44</v>
      </c>
      <c r="B186" s="2">
        <v>2019</v>
      </c>
      <c r="C186" s="2">
        <f t="shared" si="24"/>
        <v>1034</v>
      </c>
    </row>
    <row r="187" spans="1:3" ht="16.5" thickBot="1" x14ac:dyDescent="0.3">
      <c r="A187" s="6" t="s">
        <v>44</v>
      </c>
      <c r="B187" s="2">
        <v>2020</v>
      </c>
      <c r="C187" s="2">
        <f t="shared" si="24"/>
        <v>10.6</v>
      </c>
    </row>
    <row r="188" spans="1:3" ht="16.5" thickBot="1" x14ac:dyDescent="0.3">
      <c r="A188" s="6" t="s">
        <v>45</v>
      </c>
      <c r="B188" s="2">
        <v>2015</v>
      </c>
      <c r="C188" s="2">
        <f>IF(A188=$A$28,HLOOKUP(B188,$A$2:$G$36,27,0))</f>
        <v>2</v>
      </c>
    </row>
    <row r="189" spans="1:3" ht="16.5" thickBot="1" x14ac:dyDescent="0.3">
      <c r="A189" s="6" t="s">
        <v>45</v>
      </c>
      <c r="B189" s="2">
        <v>2016</v>
      </c>
      <c r="C189" s="2">
        <f t="shared" ref="C189:C193" si="25">IF(A189=$A$28,HLOOKUP(B189,$A$2:$G$36,27,0))</f>
        <v>20.6</v>
      </c>
    </row>
    <row r="190" spans="1:3" ht="16.5" thickBot="1" x14ac:dyDescent="0.3">
      <c r="A190" s="6" t="s">
        <v>45</v>
      </c>
      <c r="B190" s="2">
        <v>2017</v>
      </c>
      <c r="C190" s="2">
        <f t="shared" si="25"/>
        <v>11.4</v>
      </c>
    </row>
    <row r="191" spans="1:3" ht="16.5" thickBot="1" x14ac:dyDescent="0.3">
      <c r="A191" s="6" t="s">
        <v>45</v>
      </c>
      <c r="B191" s="2">
        <v>2018</v>
      </c>
      <c r="C191" s="2">
        <f t="shared" si="25"/>
        <v>24.7</v>
      </c>
    </row>
    <row r="192" spans="1:3" ht="16.5" thickBot="1" x14ac:dyDescent="0.3">
      <c r="A192" s="6" t="s">
        <v>45</v>
      </c>
      <c r="B192" s="2">
        <v>2019</v>
      </c>
      <c r="C192" s="2">
        <f t="shared" si="25"/>
        <v>10.1</v>
      </c>
    </row>
    <row r="193" spans="1:3" ht="16.5" thickBot="1" x14ac:dyDescent="0.3">
      <c r="A193" s="6" t="s">
        <v>45</v>
      </c>
      <c r="B193" s="2">
        <v>2020</v>
      </c>
      <c r="C193" s="2">
        <f t="shared" si="25"/>
        <v>1078</v>
      </c>
    </row>
    <row r="194" spans="1:3" ht="16.5" thickBot="1" x14ac:dyDescent="0.3">
      <c r="A194" s="6" t="s">
        <v>46</v>
      </c>
      <c r="B194" s="2">
        <v>2015</v>
      </c>
      <c r="C194" s="2">
        <f>IF(A194=$A$29,HLOOKUP(B194,$A$2:$G$36,28,0))</f>
        <v>233.3</v>
      </c>
    </row>
    <row r="195" spans="1:3" ht="16.5" thickBot="1" x14ac:dyDescent="0.3">
      <c r="A195" s="6" t="s">
        <v>46</v>
      </c>
      <c r="B195" s="2">
        <v>2016</v>
      </c>
      <c r="C195" s="2">
        <f t="shared" ref="C195:C199" si="26">IF(A195=$A$29,HLOOKUP(B195,$A$2:$G$36,28,0))</f>
        <v>372.5</v>
      </c>
    </row>
    <row r="196" spans="1:3" ht="16.5" thickBot="1" x14ac:dyDescent="0.3">
      <c r="A196" s="6" t="s">
        <v>46</v>
      </c>
      <c r="B196" s="2">
        <v>2017</v>
      </c>
      <c r="C196" s="2">
        <f t="shared" si="26"/>
        <v>712.8</v>
      </c>
    </row>
    <row r="197" spans="1:3" ht="16.5" thickBot="1" x14ac:dyDescent="0.3">
      <c r="A197" s="6" t="s">
        <v>46</v>
      </c>
      <c r="B197" s="2">
        <v>2018</v>
      </c>
      <c r="C197" s="2">
        <f t="shared" si="26"/>
        <v>617.20000000000005</v>
      </c>
    </row>
    <row r="198" spans="1:3" ht="16.5" thickBot="1" x14ac:dyDescent="0.3">
      <c r="A198" s="6" t="s">
        <v>46</v>
      </c>
      <c r="B198" s="2">
        <v>2019</v>
      </c>
      <c r="C198" s="2">
        <f t="shared" si="26"/>
        <v>302.60000000000002</v>
      </c>
    </row>
    <row r="199" spans="1:3" ht="16.5" thickBot="1" x14ac:dyDescent="0.3">
      <c r="A199" s="6" t="s">
        <v>46</v>
      </c>
      <c r="B199" s="2">
        <v>2020</v>
      </c>
      <c r="C199" s="2">
        <f t="shared" si="26"/>
        <v>6.5</v>
      </c>
    </row>
    <row r="200" spans="1:3" ht="16.5" thickBot="1" x14ac:dyDescent="0.3">
      <c r="A200" s="6" t="s">
        <v>47</v>
      </c>
      <c r="B200" s="2">
        <v>2015</v>
      </c>
      <c r="C200" s="2">
        <f>IF(A200=$A$30,HLOOKUP(B200,$A$2:$G$36,29,0))</f>
        <v>1085.2</v>
      </c>
    </row>
    <row r="201" spans="1:3" ht="16.5" thickBot="1" x14ac:dyDescent="0.3">
      <c r="A201" s="6" t="s">
        <v>47</v>
      </c>
      <c r="B201" s="2">
        <v>2016</v>
      </c>
      <c r="C201" s="2">
        <f t="shared" ref="C201:C205" si="27">IF(A201=$A$30,HLOOKUP(B201,$A$2:$G$36,29,0))</f>
        <v>1600.3</v>
      </c>
    </row>
    <row r="202" spans="1:3" ht="16.5" thickBot="1" x14ac:dyDescent="0.3">
      <c r="A202" s="6" t="s">
        <v>47</v>
      </c>
      <c r="B202" s="2">
        <v>2017</v>
      </c>
      <c r="C202" s="2">
        <f t="shared" si="27"/>
        <v>1545.6</v>
      </c>
    </row>
    <row r="203" spans="1:3" ht="16.5" thickBot="1" x14ac:dyDescent="0.3">
      <c r="A203" s="6" t="s">
        <v>47</v>
      </c>
      <c r="B203" s="2">
        <v>2018</v>
      </c>
      <c r="C203" s="2">
        <f t="shared" si="27"/>
        <v>672.4</v>
      </c>
    </row>
    <row r="204" spans="1:3" ht="16.5" thickBot="1" x14ac:dyDescent="0.3">
      <c r="A204" s="6" t="s">
        <v>47</v>
      </c>
      <c r="B204" s="2">
        <v>2019</v>
      </c>
      <c r="C204" s="2">
        <f t="shared" si="27"/>
        <v>1805</v>
      </c>
    </row>
    <row r="205" spans="1:3" ht="16.5" thickBot="1" x14ac:dyDescent="0.3">
      <c r="A205" s="6" t="s">
        <v>47</v>
      </c>
      <c r="B205" s="2">
        <v>2020</v>
      </c>
      <c r="C205" s="2">
        <f t="shared" si="27"/>
        <v>236.1</v>
      </c>
    </row>
    <row r="206" spans="1:3" ht="16.5" thickBot="1" x14ac:dyDescent="0.3">
      <c r="A206" s="6" t="s">
        <v>48</v>
      </c>
      <c r="B206" s="2">
        <v>2015</v>
      </c>
      <c r="C206" s="2">
        <f>IF(A206=$A$31,HLOOKUP(B206,$A$2:$G$36,30,0))</f>
        <v>145</v>
      </c>
    </row>
    <row r="207" spans="1:3" ht="16.5" thickBot="1" x14ac:dyDescent="0.3">
      <c r="A207" s="6" t="s">
        <v>48</v>
      </c>
      <c r="B207" s="2">
        <v>2016</v>
      </c>
      <c r="C207" s="2">
        <f t="shared" ref="C207:C211" si="28">IF(A207=$A$31,HLOOKUP(B207,$A$2:$G$36,30,0))</f>
        <v>376.1</v>
      </c>
    </row>
    <row r="208" spans="1:3" ht="16.5" thickBot="1" x14ac:dyDescent="0.3">
      <c r="A208" s="6" t="s">
        <v>48</v>
      </c>
      <c r="B208" s="2">
        <v>2017</v>
      </c>
      <c r="C208" s="2">
        <f t="shared" si="28"/>
        <v>693</v>
      </c>
    </row>
    <row r="209" spans="1:3" ht="16.5" thickBot="1" x14ac:dyDescent="0.3">
      <c r="A209" s="6" t="s">
        <v>48</v>
      </c>
      <c r="B209" s="2">
        <v>2018</v>
      </c>
      <c r="C209" s="2">
        <f t="shared" si="28"/>
        <v>672.9</v>
      </c>
    </row>
    <row r="210" spans="1:3" ht="16.5" thickBot="1" x14ac:dyDescent="0.3">
      <c r="A210" s="6" t="s">
        <v>48</v>
      </c>
      <c r="B210" s="2">
        <v>2019</v>
      </c>
      <c r="C210" s="2">
        <f t="shared" si="28"/>
        <v>987.7</v>
      </c>
    </row>
    <row r="211" spans="1:3" ht="16.5" thickBot="1" x14ac:dyDescent="0.3">
      <c r="A211" s="6" t="s">
        <v>48</v>
      </c>
      <c r="B211" s="2">
        <v>2020</v>
      </c>
      <c r="C211" s="2">
        <f t="shared" si="28"/>
        <v>1779</v>
      </c>
    </row>
    <row r="212" spans="1:3" ht="16.5" thickBot="1" x14ac:dyDescent="0.3">
      <c r="A212" s="6" t="s">
        <v>49</v>
      </c>
      <c r="B212" s="2">
        <v>2015</v>
      </c>
      <c r="C212" s="2">
        <f>IF(A212=$A$32,HLOOKUP(B212,$A$2:$G$36,31,0))</f>
        <v>88</v>
      </c>
    </row>
    <row r="213" spans="1:3" ht="16.5" thickBot="1" x14ac:dyDescent="0.3">
      <c r="A213" s="6" t="s">
        <v>49</v>
      </c>
      <c r="B213" s="2">
        <v>2016</v>
      </c>
      <c r="C213" s="2">
        <f t="shared" ref="C213:C217" si="29">IF(A213=$A$32,HLOOKUP(B213,$A$2:$G$36,31,0))</f>
        <v>382.8</v>
      </c>
    </row>
    <row r="214" spans="1:3" ht="16.5" thickBot="1" x14ac:dyDescent="0.3">
      <c r="A214" s="6" t="s">
        <v>49</v>
      </c>
      <c r="B214" s="2">
        <v>2017</v>
      </c>
      <c r="C214" s="2">
        <f t="shared" si="29"/>
        <v>482.9</v>
      </c>
    </row>
    <row r="215" spans="1:3" ht="16.5" thickBot="1" x14ac:dyDescent="0.3">
      <c r="A215" s="6" t="s">
        <v>49</v>
      </c>
      <c r="B215" s="2">
        <v>2018</v>
      </c>
      <c r="C215" s="2">
        <f t="shared" si="29"/>
        <v>295.89999999999998</v>
      </c>
    </row>
    <row r="216" spans="1:3" ht="16.5" thickBot="1" x14ac:dyDescent="0.3">
      <c r="A216" s="6" t="s">
        <v>49</v>
      </c>
      <c r="B216" s="2">
        <v>2019</v>
      </c>
      <c r="C216" s="2">
        <f t="shared" si="29"/>
        <v>220.5</v>
      </c>
    </row>
    <row r="217" spans="1:3" ht="16.5" thickBot="1" x14ac:dyDescent="0.3">
      <c r="A217" s="6" t="s">
        <v>49</v>
      </c>
      <c r="B217" s="2">
        <v>2020</v>
      </c>
      <c r="C217" s="2">
        <f t="shared" si="29"/>
        <v>1268.5999999999999</v>
      </c>
    </row>
    <row r="218" spans="1:3" ht="16.5" thickBot="1" x14ac:dyDescent="0.3">
      <c r="A218" s="6" t="s">
        <v>50</v>
      </c>
      <c r="B218" s="2">
        <v>2015</v>
      </c>
      <c r="C218" s="2">
        <f>IF(A218=$A$33,HLOOKUP(B218,$A$2:$G$36,32,0))</f>
        <v>57.1</v>
      </c>
    </row>
    <row r="219" spans="1:3" ht="16.5" thickBot="1" x14ac:dyDescent="0.3">
      <c r="A219" s="6" t="s">
        <v>50</v>
      </c>
      <c r="B219" s="2">
        <v>2016</v>
      </c>
      <c r="C219" s="2">
        <f t="shared" ref="C219:C223" si="30">IF(A219=$A$33,HLOOKUP(B219,$A$2:$G$36,32,0))</f>
        <v>79.3</v>
      </c>
    </row>
    <row r="220" spans="1:3" ht="16.5" thickBot="1" x14ac:dyDescent="0.3">
      <c r="A220" s="6" t="s">
        <v>50</v>
      </c>
      <c r="B220" s="2">
        <v>2017</v>
      </c>
      <c r="C220" s="2">
        <f t="shared" si="30"/>
        <v>194.4</v>
      </c>
    </row>
    <row r="221" spans="1:3" ht="16.5" thickBot="1" x14ac:dyDescent="0.3">
      <c r="A221" s="6" t="s">
        <v>50</v>
      </c>
      <c r="B221" s="2">
        <v>2018</v>
      </c>
      <c r="C221" s="2">
        <f t="shared" si="30"/>
        <v>180.8</v>
      </c>
    </row>
    <row r="222" spans="1:3" ht="16.5" thickBot="1" x14ac:dyDescent="0.3">
      <c r="A222" s="6" t="s">
        <v>50</v>
      </c>
      <c r="B222" s="2">
        <v>2019</v>
      </c>
      <c r="C222" s="2">
        <f t="shared" si="30"/>
        <v>157.1</v>
      </c>
    </row>
    <row r="223" spans="1:3" ht="16.5" thickBot="1" x14ac:dyDescent="0.3">
      <c r="A223" s="6" t="s">
        <v>50</v>
      </c>
      <c r="B223" s="2">
        <v>2020</v>
      </c>
      <c r="C223" s="2">
        <f t="shared" si="30"/>
        <v>155.69999999999999</v>
      </c>
    </row>
    <row r="224" spans="1:3" ht="16.5" thickBot="1" x14ac:dyDescent="0.3">
      <c r="A224" s="6" t="s">
        <v>51</v>
      </c>
      <c r="B224" s="2">
        <v>2015</v>
      </c>
      <c r="C224" s="2">
        <f>IF(A224=$A$34,HLOOKUP(B224,$A$2:$G$36,33,0))</f>
        <v>645.79999999999995</v>
      </c>
    </row>
    <row r="225" spans="1:3" ht="16.5" thickBot="1" x14ac:dyDescent="0.3">
      <c r="A225" s="6" t="s">
        <v>51</v>
      </c>
      <c r="B225" s="2">
        <v>2016</v>
      </c>
      <c r="C225" s="2">
        <f t="shared" ref="C225:C229" si="31">IF(A225=$A$34,HLOOKUP(B225,$A$2:$G$36,33,0))</f>
        <v>2793.5</v>
      </c>
    </row>
    <row r="226" spans="1:3" ht="16.5" thickBot="1" x14ac:dyDescent="0.3">
      <c r="A226" s="6" t="s">
        <v>51</v>
      </c>
      <c r="B226" s="2">
        <v>2017</v>
      </c>
      <c r="C226" s="2">
        <f t="shared" si="31"/>
        <v>1182.9000000000001</v>
      </c>
    </row>
    <row r="227" spans="1:3" ht="16.5" thickBot="1" x14ac:dyDescent="0.3">
      <c r="A227" s="6" t="s">
        <v>51</v>
      </c>
      <c r="B227" s="2">
        <v>2018</v>
      </c>
      <c r="C227" s="2">
        <f t="shared" si="31"/>
        <v>1078.5999999999999</v>
      </c>
    </row>
    <row r="228" spans="1:3" ht="16.5" thickBot="1" x14ac:dyDescent="0.3">
      <c r="A228" s="6" t="s">
        <v>51</v>
      </c>
      <c r="B228" s="2">
        <v>2019</v>
      </c>
      <c r="C228" s="2">
        <f t="shared" si="31"/>
        <v>736.5</v>
      </c>
    </row>
    <row r="229" spans="1:3" ht="16.5" thickBot="1" x14ac:dyDescent="0.3">
      <c r="A229" s="6" t="s">
        <v>51</v>
      </c>
      <c r="B229" s="2">
        <v>2020</v>
      </c>
      <c r="C229" s="2">
        <f t="shared" si="31"/>
        <v>125.6</v>
      </c>
    </row>
    <row r="230" spans="1:3" ht="16.5" thickBot="1" x14ac:dyDescent="0.3">
      <c r="A230" s="6" t="s">
        <v>52</v>
      </c>
      <c r="B230" s="2">
        <v>2015</v>
      </c>
      <c r="C230" s="2">
        <f>IF(A230=$A$35,HLOOKUP(B230,$A$2:$G$36,34,0))</f>
        <v>1246.0999999999999</v>
      </c>
    </row>
    <row r="231" spans="1:3" ht="16.5" thickBot="1" x14ac:dyDescent="0.3">
      <c r="A231" s="6" t="s">
        <v>52</v>
      </c>
      <c r="B231" s="2">
        <v>2016</v>
      </c>
      <c r="C231" s="2">
        <f t="shared" ref="C231:C235" si="32">IF(A231=$A$35,HLOOKUP(B231,$A$2:$G$36,34,0))</f>
        <v>1014.7</v>
      </c>
    </row>
    <row r="232" spans="1:3" ht="16.5" thickBot="1" x14ac:dyDescent="0.3">
      <c r="A232" s="6" t="s">
        <v>52</v>
      </c>
      <c r="B232" s="2">
        <v>2017</v>
      </c>
      <c r="C232" s="2">
        <f t="shared" si="32"/>
        <v>1514.9</v>
      </c>
    </row>
    <row r="233" spans="1:3" ht="16.5" thickBot="1" x14ac:dyDescent="0.3">
      <c r="A233" s="6" t="s">
        <v>52</v>
      </c>
      <c r="B233" s="2">
        <v>2018</v>
      </c>
      <c r="C233" s="2">
        <f t="shared" si="32"/>
        <v>1227.5999999999999</v>
      </c>
    </row>
    <row r="234" spans="1:3" ht="16.5" thickBot="1" x14ac:dyDescent="0.3">
      <c r="A234" s="6" t="s">
        <v>52</v>
      </c>
      <c r="B234" s="2">
        <v>2019</v>
      </c>
      <c r="C234" s="2">
        <f t="shared" si="32"/>
        <v>379.5</v>
      </c>
    </row>
    <row r="235" spans="1:3" ht="16.5" thickBot="1" x14ac:dyDescent="0.3">
      <c r="A235" s="6" t="s">
        <v>52</v>
      </c>
      <c r="B235" s="2">
        <v>2020</v>
      </c>
      <c r="C235" s="2">
        <f t="shared" si="32"/>
        <v>1543.9</v>
      </c>
    </row>
    <row r="236" spans="1:3" ht="16.5" thickBot="1" x14ac:dyDescent="0.3">
      <c r="A236" s="6" t="s">
        <v>53</v>
      </c>
      <c r="B236" s="2">
        <v>2015</v>
      </c>
      <c r="C236" s="2">
        <f>IF(A236=$A$36,HLOOKUP(B236,$A$2:$G$36,35,0))</f>
        <v>89.1</v>
      </c>
    </row>
    <row r="237" spans="1:3" ht="16.5" thickBot="1" x14ac:dyDescent="0.3">
      <c r="A237" s="6" t="s">
        <v>53</v>
      </c>
      <c r="B237" s="2">
        <v>2016</v>
      </c>
      <c r="C237" s="2">
        <f t="shared" ref="C237:C241" si="33">IF(A237=$A$36,HLOOKUP(B237,$A$2:$G$36,35,0))</f>
        <v>19.600000000000001</v>
      </c>
    </row>
    <row r="238" spans="1:3" ht="16.5" thickBot="1" x14ac:dyDescent="0.3">
      <c r="A238" s="6" t="s">
        <v>53</v>
      </c>
      <c r="B238" s="2">
        <v>2017</v>
      </c>
      <c r="C238" s="2">
        <f t="shared" si="33"/>
        <v>36.5</v>
      </c>
    </row>
    <row r="239" spans="1:3" ht="16.5" thickBot="1" x14ac:dyDescent="0.3">
      <c r="A239" s="6" t="s">
        <v>53</v>
      </c>
      <c r="B239" s="2">
        <v>2018</v>
      </c>
      <c r="C239" s="2">
        <f t="shared" si="33"/>
        <v>81.3</v>
      </c>
    </row>
    <row r="240" spans="1:3" ht="16.5" thickBot="1" x14ac:dyDescent="0.3">
      <c r="A240" s="6" t="s">
        <v>53</v>
      </c>
      <c r="B240" s="2">
        <v>2019</v>
      </c>
      <c r="C240" s="2">
        <f t="shared" si="33"/>
        <v>14.6</v>
      </c>
    </row>
    <row r="241" spans="1:3" ht="16.5" thickBot="1" x14ac:dyDescent="0.3">
      <c r="A241" s="6" t="s">
        <v>53</v>
      </c>
      <c r="B241" s="2">
        <v>2020</v>
      </c>
      <c r="C241" s="2">
        <f t="shared" si="33"/>
        <v>974.8</v>
      </c>
    </row>
  </sheetData>
  <sortState ref="I2:L35">
    <sortCondition ref="I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1"/>
  <sheetViews>
    <sheetView tabSelected="1" workbookViewId="0"/>
  </sheetViews>
  <sheetFormatPr defaultRowHeight="15" x14ac:dyDescent="0.25"/>
  <cols>
    <col min="1" max="1" width="27.28515625" customWidth="1"/>
    <col min="2" max="8" width="12.7109375" customWidth="1"/>
    <col min="9" max="9" width="41.5703125" customWidth="1"/>
    <col min="10" max="10" width="13.7109375" customWidth="1"/>
    <col min="11" max="12" width="13.42578125" bestFit="1" customWidth="1"/>
    <col min="13" max="13" width="13.85546875" bestFit="1" customWidth="1"/>
    <col min="14" max="14" width="13.42578125" bestFit="1" customWidth="1"/>
    <col min="15" max="15" width="18.140625" customWidth="1"/>
  </cols>
  <sheetData>
    <row r="1" spans="1:15" ht="16.5" thickBot="1" x14ac:dyDescent="0.3">
      <c r="A1" s="25" t="s">
        <v>94</v>
      </c>
      <c r="B1" s="23"/>
      <c r="C1" s="23"/>
      <c r="D1" s="23"/>
      <c r="E1" s="23"/>
      <c r="F1" s="23"/>
      <c r="G1" s="23"/>
      <c r="H1" s="23"/>
    </row>
    <row r="2" spans="1:15" s="10" customFormat="1" ht="16.5" thickBot="1" x14ac:dyDescent="0.3">
      <c r="A2" s="1" t="s">
        <v>91</v>
      </c>
      <c r="B2" s="1">
        <v>2015</v>
      </c>
      <c r="C2" s="1">
        <v>2016</v>
      </c>
      <c r="D2" s="1">
        <v>2017</v>
      </c>
      <c r="E2" s="1">
        <v>2018</v>
      </c>
      <c r="F2" s="1">
        <v>2019</v>
      </c>
      <c r="G2" s="1">
        <v>2020</v>
      </c>
      <c r="H2" s="23"/>
      <c r="J2" s="27">
        <v>2015</v>
      </c>
      <c r="K2" s="27">
        <v>2016</v>
      </c>
      <c r="L2" s="27">
        <v>2017</v>
      </c>
      <c r="M2" s="27">
        <v>2018</v>
      </c>
      <c r="N2" s="27">
        <v>2019</v>
      </c>
      <c r="O2" s="27">
        <v>2020</v>
      </c>
    </row>
    <row r="3" spans="1:15" ht="16.5" thickBot="1" x14ac:dyDescent="0.3">
      <c r="A3" s="24" t="s">
        <v>20</v>
      </c>
      <c r="B3" s="20">
        <v>12611106</v>
      </c>
      <c r="C3" s="20">
        <v>12653241</v>
      </c>
      <c r="D3" s="20">
        <v>14813723</v>
      </c>
      <c r="E3" s="20">
        <v>15335355</v>
      </c>
      <c r="F3" s="20">
        <v>17177507</v>
      </c>
      <c r="G3" s="20">
        <v>17288018</v>
      </c>
      <c r="I3" s="20" t="s">
        <v>54</v>
      </c>
      <c r="J3" s="20">
        <v>12611106</v>
      </c>
      <c r="K3" s="20">
        <v>12653241</v>
      </c>
      <c r="L3" s="20">
        <v>14813723</v>
      </c>
      <c r="M3" s="20">
        <v>15335355</v>
      </c>
      <c r="N3" s="20">
        <v>17177507</v>
      </c>
      <c r="O3" s="20">
        <v>17288018</v>
      </c>
    </row>
    <row r="4" spans="1:15" ht="16.5" thickBot="1" x14ac:dyDescent="0.3">
      <c r="A4" s="20" t="s">
        <v>21</v>
      </c>
      <c r="B4" s="20">
        <v>5873708</v>
      </c>
      <c r="C4" s="20">
        <v>5923695</v>
      </c>
      <c r="D4" s="20">
        <v>6478849</v>
      </c>
      <c r="E4" s="20">
        <v>6701282</v>
      </c>
      <c r="F4" s="20">
        <v>6834256</v>
      </c>
      <c r="G4" s="20">
        <v>6550978</v>
      </c>
      <c r="I4" s="20" t="s">
        <v>68</v>
      </c>
      <c r="J4" s="20">
        <v>5873708</v>
      </c>
      <c r="K4" s="20">
        <v>5923695</v>
      </c>
      <c r="L4" s="20">
        <v>6478849</v>
      </c>
      <c r="M4" s="20">
        <v>6701282</v>
      </c>
      <c r="N4" s="20">
        <v>6834256</v>
      </c>
      <c r="O4" s="20">
        <v>6550978</v>
      </c>
    </row>
    <row r="5" spans="1:15" ht="16.5" thickBot="1" x14ac:dyDescent="0.3">
      <c r="A5" s="20" t="s">
        <v>22</v>
      </c>
      <c r="B5" s="20">
        <v>9236215</v>
      </c>
      <c r="C5" s="20">
        <v>9786470</v>
      </c>
      <c r="D5" s="20">
        <v>10265222</v>
      </c>
      <c r="E5" s="20">
        <v>11072775</v>
      </c>
      <c r="F5" s="20">
        <v>12285531</v>
      </c>
      <c r="G5" s="20">
        <v>12122344</v>
      </c>
      <c r="I5" s="20" t="s">
        <v>67</v>
      </c>
      <c r="J5" s="20">
        <v>9236215</v>
      </c>
      <c r="K5" s="20">
        <v>9786470</v>
      </c>
      <c r="L5" s="20">
        <v>10265222</v>
      </c>
      <c r="M5" s="20">
        <v>11072775</v>
      </c>
      <c r="N5" s="20">
        <v>12285531</v>
      </c>
      <c r="O5" s="20">
        <v>12122344</v>
      </c>
    </row>
    <row r="6" spans="1:15" ht="16.5" thickBot="1" x14ac:dyDescent="0.3">
      <c r="A6" s="20" t="s">
        <v>23</v>
      </c>
      <c r="B6" s="20">
        <v>2436204</v>
      </c>
      <c r="C6" s="20">
        <v>2491651</v>
      </c>
      <c r="D6" s="20">
        <v>3243391</v>
      </c>
      <c r="E6" s="20">
        <v>3202896</v>
      </c>
      <c r="F6" s="20">
        <v>3639871</v>
      </c>
      <c r="G6" s="20">
        <v>2816001</v>
      </c>
      <c r="I6" s="20" t="s">
        <v>60</v>
      </c>
      <c r="J6" s="20">
        <v>2436204</v>
      </c>
      <c r="K6" s="20">
        <v>2491651</v>
      </c>
      <c r="L6" s="20">
        <v>3243391</v>
      </c>
      <c r="M6" s="20">
        <v>3202896</v>
      </c>
      <c r="N6" s="20">
        <v>3639871</v>
      </c>
      <c r="O6" s="20">
        <v>2816001</v>
      </c>
    </row>
    <row r="7" spans="1:15" ht="16.5" thickBot="1" x14ac:dyDescent="0.3">
      <c r="A7" s="20" t="s">
        <v>24</v>
      </c>
      <c r="B7" s="20">
        <v>53419020</v>
      </c>
      <c r="C7" s="20">
        <v>59392458</v>
      </c>
      <c r="D7" s="20">
        <v>73535704</v>
      </c>
      <c r="E7" s="20">
        <v>78671228</v>
      </c>
      <c r="F7" s="20">
        <v>89088352</v>
      </c>
      <c r="G7" s="20">
        <v>61469821</v>
      </c>
      <c r="I7" s="20" t="s">
        <v>87</v>
      </c>
      <c r="J7" s="20">
        <v>53419020</v>
      </c>
      <c r="K7" s="20">
        <v>59392458</v>
      </c>
      <c r="L7" s="20">
        <v>73535704</v>
      </c>
      <c r="M7" s="20">
        <v>78671228</v>
      </c>
      <c r="N7" s="20">
        <v>89088352</v>
      </c>
      <c r="O7" s="20">
        <v>61469821</v>
      </c>
    </row>
    <row r="8" spans="1:15" ht="16.5" thickBot="1" x14ac:dyDescent="0.3">
      <c r="A8" s="20" t="s">
        <v>25</v>
      </c>
      <c r="B8" s="20">
        <v>1476327</v>
      </c>
      <c r="C8" s="20">
        <v>1652704</v>
      </c>
      <c r="D8" s="20">
        <v>1829857</v>
      </c>
      <c r="E8" s="20">
        <v>1889286</v>
      </c>
      <c r="F8" s="20">
        <v>1955667</v>
      </c>
      <c r="G8" s="20">
        <v>1948827</v>
      </c>
      <c r="I8" s="20" t="s">
        <v>80</v>
      </c>
      <c r="J8" s="20">
        <v>1476327</v>
      </c>
      <c r="K8" s="20">
        <v>1652704</v>
      </c>
      <c r="L8" s="20">
        <v>1829857</v>
      </c>
      <c r="M8" s="20">
        <v>1889286</v>
      </c>
      <c r="N8" s="20">
        <v>1955667</v>
      </c>
      <c r="O8" s="20">
        <v>1948827</v>
      </c>
    </row>
    <row r="9" spans="1:15" ht="16.5" thickBot="1" x14ac:dyDescent="0.3">
      <c r="A9" s="20" t="s">
        <v>26</v>
      </c>
      <c r="B9" s="20">
        <v>3604245</v>
      </c>
      <c r="C9" s="20">
        <v>3381885</v>
      </c>
      <c r="D9" s="20">
        <v>4583486</v>
      </c>
      <c r="E9" s="20">
        <v>4869537</v>
      </c>
      <c r="F9" s="20">
        <v>4828407</v>
      </c>
      <c r="G9" s="20">
        <v>4820948</v>
      </c>
      <c r="I9" s="20" t="s">
        <v>58</v>
      </c>
      <c r="J9" s="20">
        <v>3604245</v>
      </c>
      <c r="K9" s="20">
        <v>3381885</v>
      </c>
      <c r="L9" s="20">
        <v>4583486</v>
      </c>
      <c r="M9" s="20">
        <v>4869537</v>
      </c>
      <c r="N9" s="20">
        <v>4828407</v>
      </c>
      <c r="O9" s="20">
        <v>4820948</v>
      </c>
    </row>
    <row r="10" spans="1:15" ht="16.5" thickBot="1" x14ac:dyDescent="0.3">
      <c r="A10" s="20" t="s">
        <v>27</v>
      </c>
      <c r="B10" s="20">
        <v>28561853</v>
      </c>
      <c r="C10" s="20">
        <v>31344462</v>
      </c>
      <c r="D10" s="20">
        <v>35512081</v>
      </c>
      <c r="E10" s="20">
        <v>36482715</v>
      </c>
      <c r="F10" s="20">
        <v>37132309</v>
      </c>
      <c r="G10" s="20">
        <v>39376316</v>
      </c>
      <c r="I10" s="20" t="s">
        <v>64</v>
      </c>
      <c r="J10" s="20">
        <v>28561853</v>
      </c>
      <c r="K10" s="20">
        <v>31344462</v>
      </c>
      <c r="L10" s="20">
        <v>35512081</v>
      </c>
      <c r="M10" s="20">
        <v>36482715</v>
      </c>
      <c r="N10" s="20">
        <v>37132309</v>
      </c>
      <c r="O10" s="20">
        <v>39376316</v>
      </c>
    </row>
    <row r="11" spans="1:15" ht="16.5" thickBot="1" x14ac:dyDescent="0.3">
      <c r="A11" s="20" t="s">
        <v>28</v>
      </c>
      <c r="B11" s="20">
        <v>18517591</v>
      </c>
      <c r="C11" s="20">
        <v>20050498</v>
      </c>
      <c r="D11" s="20">
        <v>24349750</v>
      </c>
      <c r="E11" s="20">
        <v>26231235</v>
      </c>
      <c r="F11" s="20">
        <v>26652341</v>
      </c>
      <c r="G11" s="20">
        <v>26513084</v>
      </c>
      <c r="I11" s="20" t="s">
        <v>65</v>
      </c>
      <c r="J11" s="20">
        <v>18517591</v>
      </c>
      <c r="K11" s="20">
        <v>20050498</v>
      </c>
      <c r="L11" s="20">
        <v>24349750</v>
      </c>
      <c r="M11" s="20">
        <v>26231235</v>
      </c>
      <c r="N11" s="20">
        <v>26652341</v>
      </c>
      <c r="O11" s="20">
        <v>26513084</v>
      </c>
    </row>
    <row r="12" spans="1:15" ht="16.5" thickBot="1" x14ac:dyDescent="0.3">
      <c r="A12" s="20" t="s">
        <v>29</v>
      </c>
      <c r="B12" s="20">
        <v>24678649</v>
      </c>
      <c r="C12" s="20">
        <v>26527236</v>
      </c>
      <c r="D12" s="20">
        <v>31851420</v>
      </c>
      <c r="E12" s="20">
        <v>35289761</v>
      </c>
      <c r="F12" s="20">
        <v>33843734</v>
      </c>
      <c r="G12" s="20">
        <v>36022542</v>
      </c>
      <c r="I12" s="20" t="s">
        <v>66</v>
      </c>
      <c r="J12" s="20">
        <v>24678649</v>
      </c>
      <c r="K12" s="20">
        <v>26527236</v>
      </c>
      <c r="L12" s="20">
        <v>31851420</v>
      </c>
      <c r="M12" s="20">
        <v>35289761</v>
      </c>
      <c r="N12" s="20">
        <v>33843734</v>
      </c>
      <c r="O12" s="20">
        <v>36022542</v>
      </c>
    </row>
    <row r="13" spans="1:15" ht="16.5" thickBot="1" x14ac:dyDescent="0.3">
      <c r="A13" s="20" t="s">
        <v>30</v>
      </c>
      <c r="B13" s="20">
        <v>4207748</v>
      </c>
      <c r="C13" s="20">
        <v>4503518</v>
      </c>
      <c r="D13" s="20">
        <v>5562103</v>
      </c>
      <c r="E13" s="20">
        <v>5872181</v>
      </c>
      <c r="F13" s="20">
        <v>5910666</v>
      </c>
      <c r="G13" s="20">
        <v>6242375</v>
      </c>
      <c r="I13" s="20" t="s">
        <v>71</v>
      </c>
      <c r="J13" s="20">
        <v>4207748</v>
      </c>
      <c r="K13" s="20">
        <v>4503518</v>
      </c>
      <c r="L13" s="20">
        <v>5562103</v>
      </c>
      <c r="M13" s="20">
        <v>5872181</v>
      </c>
      <c r="N13" s="20">
        <v>5910666</v>
      </c>
      <c r="O13" s="20">
        <v>6242375</v>
      </c>
    </row>
    <row r="14" spans="1:15" ht="16.5" thickBot="1" x14ac:dyDescent="0.3">
      <c r="A14" s="20" t="s">
        <v>31</v>
      </c>
      <c r="B14" s="20">
        <v>5500274</v>
      </c>
      <c r="C14" s="20">
        <v>5600689</v>
      </c>
      <c r="D14" s="20">
        <v>6002245</v>
      </c>
      <c r="E14" s="20">
        <v>6722887</v>
      </c>
      <c r="F14" s="20">
        <v>7031946</v>
      </c>
      <c r="G14" s="20">
        <v>6879065</v>
      </c>
      <c r="I14" s="20" t="s">
        <v>73</v>
      </c>
      <c r="J14" s="20">
        <v>5500274</v>
      </c>
      <c r="K14" s="20">
        <v>5600689</v>
      </c>
      <c r="L14" s="20">
        <v>6002245</v>
      </c>
      <c r="M14" s="20">
        <v>6722887</v>
      </c>
      <c r="N14" s="20">
        <v>7031946</v>
      </c>
      <c r="O14" s="20">
        <v>6879065</v>
      </c>
    </row>
    <row r="15" spans="1:15" ht="16.5" thickBot="1" x14ac:dyDescent="0.3">
      <c r="A15" s="20" t="s">
        <v>32</v>
      </c>
      <c r="B15" s="20">
        <v>3546929</v>
      </c>
      <c r="C15" s="20">
        <v>3587855</v>
      </c>
      <c r="D15" s="20">
        <v>4412596</v>
      </c>
      <c r="E15" s="20">
        <v>5250300</v>
      </c>
      <c r="F15" s="20">
        <v>5456290</v>
      </c>
      <c r="G15" s="20">
        <v>5377960</v>
      </c>
      <c r="I15" s="20" t="s">
        <v>72</v>
      </c>
      <c r="J15" s="20">
        <v>3546929</v>
      </c>
      <c r="K15" s="20">
        <v>3587855</v>
      </c>
      <c r="L15" s="20">
        <v>4412596</v>
      </c>
      <c r="M15" s="20">
        <v>5250300</v>
      </c>
      <c r="N15" s="20">
        <v>5456290</v>
      </c>
      <c r="O15" s="20">
        <v>5377960</v>
      </c>
    </row>
    <row r="16" spans="1:15" ht="16.5" thickBot="1" x14ac:dyDescent="0.3">
      <c r="A16" s="20" t="s">
        <v>33</v>
      </c>
      <c r="B16" s="20">
        <v>9376313</v>
      </c>
      <c r="C16" s="20">
        <v>8212409</v>
      </c>
      <c r="D16" s="20">
        <v>8765868</v>
      </c>
      <c r="E16" s="20">
        <v>11210808</v>
      </c>
      <c r="F16" s="20">
        <v>10769670</v>
      </c>
      <c r="G16" s="20">
        <v>12382489</v>
      </c>
      <c r="I16" s="20" t="s">
        <v>74</v>
      </c>
      <c r="J16" s="20">
        <v>9376313</v>
      </c>
      <c r="K16" s="20">
        <v>8212409</v>
      </c>
      <c r="L16" s="20">
        <v>8765868</v>
      </c>
      <c r="M16" s="20">
        <v>11210808</v>
      </c>
      <c r="N16" s="20">
        <v>10769670</v>
      </c>
      <c r="O16" s="20">
        <v>12382489</v>
      </c>
    </row>
    <row r="17" spans="1:15" ht="16.5" thickBot="1" x14ac:dyDescent="0.3">
      <c r="A17" s="20" t="s">
        <v>34</v>
      </c>
      <c r="B17" s="20">
        <v>2628832</v>
      </c>
      <c r="C17" s="20">
        <v>3068221</v>
      </c>
      <c r="D17" s="20">
        <v>2585440</v>
      </c>
      <c r="E17" s="20">
        <v>2560730</v>
      </c>
      <c r="F17" s="20">
        <v>3005922</v>
      </c>
      <c r="G17" s="20">
        <v>2778925</v>
      </c>
      <c r="I17" s="20" t="s">
        <v>75</v>
      </c>
      <c r="J17" s="20">
        <v>2628832</v>
      </c>
      <c r="K17" s="20">
        <v>3068221</v>
      </c>
      <c r="L17" s="20">
        <v>2585440</v>
      </c>
      <c r="M17" s="20">
        <v>2560730</v>
      </c>
      <c r="N17" s="20">
        <v>3005922</v>
      </c>
      <c r="O17" s="20">
        <v>2778925</v>
      </c>
    </row>
    <row r="18" spans="1:15" ht="16.5" thickBot="1" x14ac:dyDescent="0.3">
      <c r="A18" s="20" t="s">
        <v>35</v>
      </c>
      <c r="B18" s="20">
        <v>2212653</v>
      </c>
      <c r="C18" s="20">
        <v>2287560</v>
      </c>
      <c r="D18" s="20">
        <v>2468717</v>
      </c>
      <c r="E18" s="20">
        <v>2666617</v>
      </c>
      <c r="F18" s="20">
        <v>2962022</v>
      </c>
      <c r="G18" s="20">
        <v>2624707</v>
      </c>
      <c r="I18" s="20" t="s">
        <v>62</v>
      </c>
      <c r="J18" s="20">
        <v>2212653</v>
      </c>
      <c r="K18" s="20">
        <v>2287560</v>
      </c>
      <c r="L18" s="20">
        <v>2468717</v>
      </c>
      <c r="M18" s="20">
        <v>2666617</v>
      </c>
      <c r="N18" s="20">
        <v>2962022</v>
      </c>
      <c r="O18" s="20">
        <v>2624707</v>
      </c>
    </row>
    <row r="19" spans="1:15" ht="16.5" thickBot="1" x14ac:dyDescent="0.3">
      <c r="A19" s="20" t="s">
        <v>36</v>
      </c>
      <c r="B19" s="20">
        <v>2649778</v>
      </c>
      <c r="C19" s="20">
        <v>2852614</v>
      </c>
      <c r="D19" s="20">
        <v>3525102</v>
      </c>
      <c r="E19" s="20">
        <v>3499838</v>
      </c>
      <c r="F19" s="20">
        <v>3659564</v>
      </c>
      <c r="G19" s="20">
        <v>3919807</v>
      </c>
      <c r="I19" s="20" t="s">
        <v>63</v>
      </c>
      <c r="J19" s="20">
        <v>2649778</v>
      </c>
      <c r="K19" s="20">
        <v>2852614</v>
      </c>
      <c r="L19" s="20">
        <v>3525102</v>
      </c>
      <c r="M19" s="20">
        <v>3499838</v>
      </c>
      <c r="N19" s="20">
        <v>3659564</v>
      </c>
      <c r="O19" s="20">
        <v>3919807</v>
      </c>
    </row>
    <row r="20" spans="1:15" ht="16.5" thickBot="1" x14ac:dyDescent="0.3">
      <c r="A20" s="20" t="s">
        <v>37</v>
      </c>
      <c r="B20" s="20">
        <v>4898783</v>
      </c>
      <c r="C20" s="20">
        <v>5691235</v>
      </c>
      <c r="D20" s="20">
        <v>7017855</v>
      </c>
      <c r="E20" s="20">
        <v>7633026</v>
      </c>
      <c r="F20" s="20">
        <v>7807923</v>
      </c>
      <c r="G20" s="20">
        <v>7355451</v>
      </c>
      <c r="I20" s="20" t="s">
        <v>61</v>
      </c>
      <c r="J20" s="20">
        <v>4898783</v>
      </c>
      <c r="K20" s="20">
        <v>5691235</v>
      </c>
      <c r="L20" s="20">
        <v>7017855</v>
      </c>
      <c r="M20" s="20">
        <v>7633026</v>
      </c>
      <c r="N20" s="20">
        <v>7807923</v>
      </c>
      <c r="O20" s="20">
        <v>7355451</v>
      </c>
    </row>
    <row r="21" spans="1:15" ht="16.5" thickBot="1" x14ac:dyDescent="0.3">
      <c r="A21" s="20" t="s">
        <v>38</v>
      </c>
      <c r="B21" s="20">
        <v>2304537</v>
      </c>
      <c r="C21" s="20">
        <v>2831652</v>
      </c>
      <c r="D21" s="20">
        <v>2845812</v>
      </c>
      <c r="E21" s="20">
        <v>3083520</v>
      </c>
      <c r="F21" s="20">
        <v>3230500</v>
      </c>
      <c r="G21" s="20">
        <v>3384152</v>
      </c>
      <c r="I21" s="20" t="s">
        <v>82</v>
      </c>
      <c r="J21" s="20">
        <v>2304537</v>
      </c>
      <c r="K21" s="20">
        <v>2831652</v>
      </c>
      <c r="L21" s="20">
        <v>2845812</v>
      </c>
      <c r="M21" s="20">
        <v>3083520</v>
      </c>
      <c r="N21" s="20">
        <v>3230500</v>
      </c>
      <c r="O21" s="20">
        <v>3384152</v>
      </c>
    </row>
    <row r="22" spans="1:15" ht="16.5" thickBot="1" x14ac:dyDescent="0.3">
      <c r="A22" s="20" t="s">
        <v>39</v>
      </c>
      <c r="B22" s="20">
        <v>1856130</v>
      </c>
      <c r="C22" s="20">
        <v>2061128</v>
      </c>
      <c r="D22" s="20">
        <v>2312013</v>
      </c>
      <c r="E22" s="20">
        <v>2516318</v>
      </c>
      <c r="F22" s="20">
        <v>2762086</v>
      </c>
      <c r="G22" s="20">
        <v>2750139</v>
      </c>
      <c r="I22" s="20" t="s">
        <v>83</v>
      </c>
      <c r="J22" s="20">
        <v>1856130</v>
      </c>
      <c r="K22" s="20">
        <v>2061128</v>
      </c>
      <c r="L22" s="20">
        <v>2312013</v>
      </c>
      <c r="M22" s="20">
        <v>2516318</v>
      </c>
      <c r="N22" s="20">
        <v>2762086</v>
      </c>
      <c r="O22" s="20">
        <v>2750139</v>
      </c>
    </row>
    <row r="23" spans="1:15" ht="16.5" thickBot="1" x14ac:dyDescent="0.3">
      <c r="A23" s="20" t="s">
        <v>40</v>
      </c>
      <c r="B23" s="20">
        <v>3647334</v>
      </c>
      <c r="C23" s="20">
        <v>4148660</v>
      </c>
      <c r="D23" s="20">
        <v>5421933</v>
      </c>
      <c r="E23" s="20">
        <v>5334651</v>
      </c>
      <c r="F23" s="20">
        <v>5273582</v>
      </c>
      <c r="G23" s="20">
        <v>5368329</v>
      </c>
      <c r="I23" s="20" t="s">
        <v>69</v>
      </c>
      <c r="J23" s="20">
        <v>3647334</v>
      </c>
      <c r="K23" s="20">
        <v>4148660</v>
      </c>
      <c r="L23" s="20">
        <v>5421933</v>
      </c>
      <c r="M23" s="20">
        <v>5334651</v>
      </c>
      <c r="N23" s="20">
        <v>5273582</v>
      </c>
      <c r="O23" s="20">
        <v>5368329</v>
      </c>
    </row>
    <row r="24" spans="1:15" ht="16.5" thickBot="1" x14ac:dyDescent="0.3">
      <c r="A24" s="20" t="s">
        <v>41</v>
      </c>
      <c r="B24" s="20">
        <v>3570228</v>
      </c>
      <c r="C24" s="20">
        <v>4040760</v>
      </c>
      <c r="D24" s="20">
        <v>4987989</v>
      </c>
      <c r="E24" s="20">
        <v>5059885</v>
      </c>
      <c r="F24" s="20">
        <v>5448447</v>
      </c>
      <c r="G24" s="20">
        <v>5850641</v>
      </c>
      <c r="I24" s="20" t="s">
        <v>70</v>
      </c>
      <c r="J24" s="20">
        <v>3570228</v>
      </c>
      <c r="K24" s="20">
        <v>4040760</v>
      </c>
      <c r="L24" s="20">
        <v>4987989</v>
      </c>
      <c r="M24" s="20">
        <v>5059885</v>
      </c>
      <c r="N24" s="20">
        <v>5448447</v>
      </c>
      <c r="O24" s="20">
        <v>5850641</v>
      </c>
    </row>
    <row r="25" spans="1:15" ht="16.5" thickBot="1" x14ac:dyDescent="0.3">
      <c r="A25" s="20" t="s">
        <v>42</v>
      </c>
      <c r="B25" s="20">
        <v>12986632</v>
      </c>
      <c r="C25" s="20">
        <v>13071335</v>
      </c>
      <c r="D25" s="20">
        <v>14016057</v>
      </c>
      <c r="E25" s="20">
        <v>14134105</v>
      </c>
      <c r="F25" s="20">
        <v>13978118</v>
      </c>
      <c r="G25" s="20">
        <v>15527559</v>
      </c>
      <c r="I25" s="20" t="s">
        <v>85</v>
      </c>
      <c r="J25" s="20">
        <v>12986632</v>
      </c>
      <c r="K25" s="20">
        <v>13071335</v>
      </c>
      <c r="L25" s="20">
        <v>14016057</v>
      </c>
      <c r="M25" s="20">
        <v>14134105</v>
      </c>
      <c r="N25" s="20">
        <v>13978118</v>
      </c>
      <c r="O25" s="20">
        <v>15527559</v>
      </c>
    </row>
    <row r="26" spans="1:15" ht="16.5" thickBot="1" x14ac:dyDescent="0.3">
      <c r="A26" s="20" t="s">
        <v>43</v>
      </c>
      <c r="B26" s="20">
        <v>7506270</v>
      </c>
      <c r="C26" s="20">
        <v>7257003</v>
      </c>
      <c r="D26" s="20">
        <v>7839000</v>
      </c>
      <c r="E26" s="20">
        <v>8098275</v>
      </c>
      <c r="F26" s="20">
        <v>8729203</v>
      </c>
      <c r="G26" s="20">
        <v>11572152</v>
      </c>
      <c r="I26" s="20" t="s">
        <v>84</v>
      </c>
      <c r="J26" s="20">
        <v>7506270</v>
      </c>
      <c r="K26" s="20">
        <v>7257003</v>
      </c>
      <c r="L26" s="20">
        <v>7839000</v>
      </c>
      <c r="M26" s="20">
        <v>8098275</v>
      </c>
      <c r="N26" s="20">
        <v>8729203</v>
      </c>
      <c r="O26" s="20">
        <v>11572152</v>
      </c>
    </row>
    <row r="27" spans="1:15" ht="16.5" thickBot="1" x14ac:dyDescent="0.3">
      <c r="A27" s="20" t="s">
        <v>44</v>
      </c>
      <c r="B27" s="20">
        <v>10892856</v>
      </c>
      <c r="C27" s="20">
        <v>10075133</v>
      </c>
      <c r="D27" s="20">
        <v>9247194</v>
      </c>
      <c r="E27" s="20">
        <v>8537823</v>
      </c>
      <c r="F27" s="20">
        <v>9179049</v>
      </c>
      <c r="G27" s="20">
        <v>8704391</v>
      </c>
      <c r="I27" s="20" t="s">
        <v>57</v>
      </c>
      <c r="J27" s="20">
        <v>10892856</v>
      </c>
      <c r="K27" s="20">
        <v>10075133</v>
      </c>
      <c r="L27" s="20">
        <v>9247194</v>
      </c>
      <c r="M27" s="20">
        <v>8537823</v>
      </c>
      <c r="N27" s="20">
        <v>9179049</v>
      </c>
      <c r="O27" s="20">
        <v>8704391</v>
      </c>
    </row>
    <row r="28" spans="1:15" ht="16.5" thickBot="1" x14ac:dyDescent="0.3">
      <c r="A28" s="20" t="s">
        <v>45</v>
      </c>
      <c r="B28" s="20">
        <v>1473750</v>
      </c>
      <c r="C28" s="20">
        <v>1814445</v>
      </c>
      <c r="D28" s="20">
        <v>1977195</v>
      </c>
      <c r="E28" s="20">
        <v>1907106</v>
      </c>
      <c r="F28" s="20">
        <v>2135482</v>
      </c>
      <c r="G28" s="20">
        <v>2140482</v>
      </c>
      <c r="I28" s="20" t="s">
        <v>81</v>
      </c>
      <c r="J28" s="20">
        <v>1473750</v>
      </c>
      <c r="K28" s="20">
        <v>1814445</v>
      </c>
      <c r="L28" s="20">
        <v>1977195</v>
      </c>
      <c r="M28" s="20">
        <v>1907106</v>
      </c>
      <c r="N28" s="20">
        <v>2135482</v>
      </c>
      <c r="O28" s="20">
        <v>2140482</v>
      </c>
    </row>
    <row r="29" spans="1:15" ht="16.5" thickBot="1" x14ac:dyDescent="0.3">
      <c r="A29" s="20" t="s">
        <v>46</v>
      </c>
      <c r="B29" s="20">
        <v>6415560</v>
      </c>
      <c r="C29" s="20">
        <v>7292544</v>
      </c>
      <c r="D29" s="20">
        <v>9220495</v>
      </c>
      <c r="E29" s="20">
        <v>9444558</v>
      </c>
      <c r="F29" s="20">
        <v>10099897</v>
      </c>
      <c r="G29" s="20">
        <v>10374681</v>
      </c>
      <c r="I29" s="20" t="s">
        <v>78</v>
      </c>
      <c r="J29" s="20">
        <v>6415560</v>
      </c>
      <c r="K29" s="20">
        <v>7292544</v>
      </c>
      <c r="L29" s="20">
        <v>9220495</v>
      </c>
      <c r="M29" s="20">
        <v>9444558</v>
      </c>
      <c r="N29" s="20">
        <v>10099897</v>
      </c>
      <c r="O29" s="20">
        <v>10374681</v>
      </c>
    </row>
    <row r="30" spans="1:15" ht="16.5" thickBot="1" x14ac:dyDescent="0.3">
      <c r="A30" s="20" t="s">
        <v>47</v>
      </c>
      <c r="B30" s="20">
        <v>3037418</v>
      </c>
      <c r="C30" s="20">
        <v>3253130</v>
      </c>
      <c r="D30" s="20">
        <v>3708728</v>
      </c>
      <c r="E30" s="20">
        <v>4106732</v>
      </c>
      <c r="F30" s="20">
        <v>4323326</v>
      </c>
      <c r="G30" s="20">
        <v>4623258</v>
      </c>
      <c r="I30" s="20" t="s">
        <v>77</v>
      </c>
      <c r="J30" s="20">
        <v>3037418</v>
      </c>
      <c r="K30" s="20">
        <v>3253130</v>
      </c>
      <c r="L30" s="20">
        <v>3708728</v>
      </c>
      <c r="M30" s="20">
        <v>4106732</v>
      </c>
      <c r="N30" s="20">
        <v>4323326</v>
      </c>
      <c r="O30" s="20">
        <v>4623258</v>
      </c>
    </row>
    <row r="31" spans="1:15" ht="16.5" thickBot="1" x14ac:dyDescent="0.3">
      <c r="A31" s="20" t="s">
        <v>48</v>
      </c>
      <c r="B31" s="20">
        <v>2886690</v>
      </c>
      <c r="C31" s="20">
        <v>3260316</v>
      </c>
      <c r="D31" s="20">
        <v>4033244</v>
      </c>
      <c r="E31" s="20">
        <v>4138218</v>
      </c>
      <c r="F31" s="20">
        <v>4310571</v>
      </c>
      <c r="G31" s="20">
        <v>4576359</v>
      </c>
      <c r="I31" s="20" t="s">
        <v>79</v>
      </c>
      <c r="J31" s="20">
        <v>2886690</v>
      </c>
      <c r="K31" s="20">
        <v>3260316</v>
      </c>
      <c r="L31" s="20">
        <v>4033244</v>
      </c>
      <c r="M31" s="20">
        <v>4138218</v>
      </c>
      <c r="N31" s="20">
        <v>4310571</v>
      </c>
      <c r="O31" s="20">
        <v>4576359</v>
      </c>
    </row>
    <row r="32" spans="1:15" ht="16.5" thickBot="1" x14ac:dyDescent="0.3">
      <c r="A32" s="20" t="s">
        <v>49</v>
      </c>
      <c r="B32" s="20">
        <v>2818668</v>
      </c>
      <c r="C32" s="20">
        <v>2985770</v>
      </c>
      <c r="D32" s="20">
        <v>3891527</v>
      </c>
      <c r="E32" s="20">
        <v>4080736</v>
      </c>
      <c r="F32" s="20">
        <v>4524486</v>
      </c>
      <c r="G32" s="20">
        <v>4640155</v>
      </c>
      <c r="I32" s="20" t="s">
        <v>76</v>
      </c>
      <c r="J32" s="20">
        <v>2818668</v>
      </c>
      <c r="K32" s="20">
        <v>2985770</v>
      </c>
      <c r="L32" s="20">
        <v>3891527</v>
      </c>
      <c r="M32" s="20">
        <v>4080736</v>
      </c>
      <c r="N32" s="20">
        <v>4524486</v>
      </c>
      <c r="O32" s="20">
        <v>4640155</v>
      </c>
    </row>
    <row r="33" spans="1:15" ht="16.5" thickBot="1" x14ac:dyDescent="0.3">
      <c r="A33" s="20" t="s">
        <v>50</v>
      </c>
      <c r="B33" s="20">
        <v>4326354</v>
      </c>
      <c r="C33" s="20">
        <v>4876172</v>
      </c>
      <c r="D33" s="20">
        <v>6363961</v>
      </c>
      <c r="E33" s="20">
        <v>6822712</v>
      </c>
      <c r="F33" s="20">
        <v>7150369</v>
      </c>
      <c r="G33" s="20">
        <v>6701552</v>
      </c>
      <c r="I33" s="20" t="s">
        <v>56</v>
      </c>
      <c r="J33" s="20">
        <v>4326354</v>
      </c>
      <c r="K33" s="20">
        <v>4876172</v>
      </c>
      <c r="L33" s="20">
        <v>6363961</v>
      </c>
      <c r="M33" s="20">
        <v>6822712</v>
      </c>
      <c r="N33" s="20">
        <v>7150369</v>
      </c>
      <c r="O33" s="20">
        <v>6701552</v>
      </c>
    </row>
    <row r="34" spans="1:15" ht="16.5" thickBot="1" x14ac:dyDescent="0.3">
      <c r="A34" s="20" t="s">
        <v>51</v>
      </c>
      <c r="B34" s="20">
        <v>6030394</v>
      </c>
      <c r="C34" s="20">
        <v>6627642</v>
      </c>
      <c r="D34" s="20">
        <v>8260827</v>
      </c>
      <c r="E34" s="20">
        <v>9182301</v>
      </c>
      <c r="F34" s="20">
        <v>9713473</v>
      </c>
      <c r="G34" s="20">
        <v>9753498</v>
      </c>
      <c r="I34" s="20" t="s">
        <v>59</v>
      </c>
      <c r="J34" s="20">
        <v>6030394</v>
      </c>
      <c r="K34" s="20">
        <v>6627642</v>
      </c>
      <c r="L34" s="20">
        <v>8260827</v>
      </c>
      <c r="M34" s="20">
        <v>9182301</v>
      </c>
      <c r="N34" s="20">
        <v>9713473</v>
      </c>
      <c r="O34" s="20">
        <v>9753498</v>
      </c>
    </row>
    <row r="35" spans="1:15" ht="16.5" thickBot="1" x14ac:dyDescent="0.3">
      <c r="A35" s="20" t="s">
        <v>52</v>
      </c>
      <c r="B35" s="20">
        <v>8495657</v>
      </c>
      <c r="C35" s="20">
        <v>10976895</v>
      </c>
      <c r="D35" s="20">
        <v>13402544</v>
      </c>
      <c r="E35" s="20">
        <v>13544555</v>
      </c>
      <c r="F35" s="20">
        <v>15827753</v>
      </c>
      <c r="G35" s="20">
        <v>13252957</v>
      </c>
      <c r="I35" s="20" t="s">
        <v>55</v>
      </c>
      <c r="J35" s="20">
        <v>8495657</v>
      </c>
      <c r="K35" s="20">
        <v>10976895</v>
      </c>
      <c r="L35" s="20">
        <v>13402544</v>
      </c>
      <c r="M35" s="20">
        <v>13544555</v>
      </c>
      <c r="N35" s="20">
        <v>15827753</v>
      </c>
      <c r="O35" s="20">
        <v>13252957</v>
      </c>
    </row>
    <row r="36" spans="1:15" ht="16.5" thickBot="1" x14ac:dyDescent="0.3">
      <c r="A36" s="20" t="s">
        <v>53</v>
      </c>
      <c r="B36" s="20">
        <v>3911108</v>
      </c>
      <c r="C36" s="20">
        <v>4270073</v>
      </c>
      <c r="D36" s="20">
        <v>5279617</v>
      </c>
      <c r="E36" s="20">
        <v>5790571</v>
      </c>
      <c r="F36" s="20">
        <v>6149113</v>
      </c>
      <c r="G36" s="20">
        <v>6035224</v>
      </c>
      <c r="I36" s="20" t="s">
        <v>86</v>
      </c>
      <c r="J36" s="20">
        <v>3911108</v>
      </c>
      <c r="K36" s="20">
        <v>4270073</v>
      </c>
      <c r="L36" s="20">
        <v>5279617</v>
      </c>
      <c r="M36" s="20">
        <v>5790571</v>
      </c>
      <c r="N36" s="20">
        <v>6149113</v>
      </c>
      <c r="O36" s="20">
        <v>6035224</v>
      </c>
    </row>
    <row r="37" spans="1:15" ht="15.75" thickBot="1" x14ac:dyDescent="0.3"/>
    <row r="38" spans="1:15" ht="16.5" thickBot="1" x14ac:dyDescent="0.3">
      <c r="A38" s="6" t="s">
        <v>20</v>
      </c>
      <c r="B38" s="2">
        <v>2015</v>
      </c>
      <c r="C38" s="2">
        <f>IF(A38=$A$3,HLOOKUP(B38,$A$2:$G$36,2,0))</f>
        <v>12611106</v>
      </c>
    </row>
    <row r="39" spans="1:15" ht="16.5" thickBot="1" x14ac:dyDescent="0.3">
      <c r="A39" s="6" t="s">
        <v>20</v>
      </c>
      <c r="B39" s="2">
        <v>2016</v>
      </c>
      <c r="C39" s="2">
        <f>IF(A39=$A$3,HLOOKUP(B39,$A$2:$G$36,2,0))</f>
        <v>12653241</v>
      </c>
    </row>
    <row r="40" spans="1:15" ht="16.5" thickBot="1" x14ac:dyDescent="0.3">
      <c r="A40" s="6" t="s">
        <v>20</v>
      </c>
      <c r="B40" s="2">
        <v>2017</v>
      </c>
      <c r="C40" s="2">
        <f t="shared" ref="C40:C43" si="0">IF(A40=$A$3,HLOOKUP(B40,$A$2:$G$36,2,0))</f>
        <v>14813723</v>
      </c>
    </row>
    <row r="41" spans="1:15" ht="16.5" thickBot="1" x14ac:dyDescent="0.3">
      <c r="A41" s="6" t="s">
        <v>20</v>
      </c>
      <c r="B41" s="2">
        <v>2018</v>
      </c>
      <c r="C41" s="2">
        <f t="shared" si="0"/>
        <v>15335355</v>
      </c>
    </row>
    <row r="42" spans="1:15" ht="16.5" thickBot="1" x14ac:dyDescent="0.3">
      <c r="A42" s="6" t="s">
        <v>20</v>
      </c>
      <c r="B42" s="2">
        <v>2019</v>
      </c>
      <c r="C42" s="2">
        <f t="shared" si="0"/>
        <v>17177507</v>
      </c>
    </row>
    <row r="43" spans="1:15" ht="16.5" thickBot="1" x14ac:dyDescent="0.3">
      <c r="A43" s="6" t="s">
        <v>20</v>
      </c>
      <c r="B43" s="2">
        <v>2020</v>
      </c>
      <c r="C43" s="2">
        <f t="shared" si="0"/>
        <v>17288018</v>
      </c>
    </row>
    <row r="44" spans="1:15" ht="16.5" thickBot="1" x14ac:dyDescent="0.3">
      <c r="A44" s="6" t="s">
        <v>21</v>
      </c>
      <c r="B44" s="2">
        <v>2015</v>
      </c>
      <c r="C44" s="2">
        <f>IF(A44=$A$4,HLOOKUP(B44,$A$2:$G$36,3,0))</f>
        <v>5873708</v>
      </c>
    </row>
    <row r="45" spans="1:15" ht="16.5" thickBot="1" x14ac:dyDescent="0.3">
      <c r="A45" s="6" t="s">
        <v>21</v>
      </c>
      <c r="B45" s="2">
        <v>2016</v>
      </c>
      <c r="C45" s="2">
        <f t="shared" ref="C45:C48" si="1">IF(A45=$A$4,HLOOKUP(B45,$A$2:$G$36,3,0))</f>
        <v>5923695</v>
      </c>
    </row>
    <row r="46" spans="1:15" ht="16.5" thickBot="1" x14ac:dyDescent="0.3">
      <c r="A46" s="6" t="s">
        <v>21</v>
      </c>
      <c r="B46" s="2">
        <v>2017</v>
      </c>
      <c r="C46" s="2">
        <f t="shared" si="1"/>
        <v>6478849</v>
      </c>
    </row>
    <row r="47" spans="1:15" ht="16.5" thickBot="1" x14ac:dyDescent="0.3">
      <c r="A47" s="6" t="s">
        <v>21</v>
      </c>
      <c r="B47" s="2">
        <v>2018</v>
      </c>
      <c r="C47" s="2">
        <f t="shared" si="1"/>
        <v>6701282</v>
      </c>
    </row>
    <row r="48" spans="1:15" ht="16.5" thickBot="1" x14ac:dyDescent="0.3">
      <c r="A48" s="6" t="s">
        <v>21</v>
      </c>
      <c r="B48" s="2">
        <v>2019</v>
      </c>
      <c r="C48" s="2">
        <f t="shared" si="1"/>
        <v>6834256</v>
      </c>
    </row>
    <row r="49" spans="1:3" ht="16.5" thickBot="1" x14ac:dyDescent="0.3">
      <c r="A49" s="6" t="s">
        <v>21</v>
      </c>
      <c r="B49" s="2">
        <v>2020</v>
      </c>
      <c r="C49" s="2">
        <f>IF(A49=$A$4,HLOOKUP(B49,$A$2:$G$36,3,0))</f>
        <v>6550978</v>
      </c>
    </row>
    <row r="50" spans="1:3" ht="16.5" thickBot="1" x14ac:dyDescent="0.3">
      <c r="A50" s="6" t="s">
        <v>22</v>
      </c>
      <c r="B50" s="2">
        <v>2015</v>
      </c>
      <c r="C50" s="2">
        <f>IF(A50=$A$5,HLOOKUP(B50,$A$2:$G$36,4,0))</f>
        <v>9236215</v>
      </c>
    </row>
    <row r="51" spans="1:3" ht="16.5" thickBot="1" x14ac:dyDescent="0.3">
      <c r="A51" s="6" t="s">
        <v>22</v>
      </c>
      <c r="B51" s="2">
        <v>2016</v>
      </c>
      <c r="C51" s="2">
        <f t="shared" ref="C51:C55" si="2">IF(A51=$A$5,HLOOKUP(B51,$A$2:$G$36,4,0))</f>
        <v>9786470</v>
      </c>
    </row>
    <row r="52" spans="1:3" ht="16.5" thickBot="1" x14ac:dyDescent="0.3">
      <c r="A52" s="6" t="s">
        <v>22</v>
      </c>
      <c r="B52" s="2">
        <v>2017</v>
      </c>
      <c r="C52" s="2">
        <f t="shared" si="2"/>
        <v>10265222</v>
      </c>
    </row>
    <row r="53" spans="1:3" ht="16.5" thickBot="1" x14ac:dyDescent="0.3">
      <c r="A53" s="6" t="s">
        <v>22</v>
      </c>
      <c r="B53" s="2">
        <v>2018</v>
      </c>
      <c r="C53" s="2">
        <f t="shared" si="2"/>
        <v>11072775</v>
      </c>
    </row>
    <row r="54" spans="1:3" ht="16.5" thickBot="1" x14ac:dyDescent="0.3">
      <c r="A54" s="6" t="s">
        <v>22</v>
      </c>
      <c r="B54" s="2">
        <v>2019</v>
      </c>
      <c r="C54" s="2">
        <f t="shared" si="2"/>
        <v>12285531</v>
      </c>
    </row>
    <row r="55" spans="1:3" ht="16.5" thickBot="1" x14ac:dyDescent="0.3">
      <c r="A55" s="6" t="s">
        <v>22</v>
      </c>
      <c r="B55" s="2">
        <v>2020</v>
      </c>
      <c r="C55" s="2">
        <f t="shared" si="2"/>
        <v>12122344</v>
      </c>
    </row>
    <row r="56" spans="1:3" ht="16.5" thickBot="1" x14ac:dyDescent="0.3">
      <c r="A56" s="6" t="s">
        <v>23</v>
      </c>
      <c r="B56" s="2">
        <v>2015</v>
      </c>
      <c r="C56" s="2">
        <f>IF(A56=$A$6,HLOOKUP(B56,$A$2:$G$36,5,0))</f>
        <v>2436204</v>
      </c>
    </row>
    <row r="57" spans="1:3" ht="16.5" thickBot="1" x14ac:dyDescent="0.3">
      <c r="A57" s="6" t="s">
        <v>23</v>
      </c>
      <c r="B57" s="2">
        <v>2016</v>
      </c>
      <c r="C57" s="2">
        <f t="shared" ref="C57:C61" si="3">IF(A57=$A$6,HLOOKUP(B57,$A$2:$G$36,5,0))</f>
        <v>2491651</v>
      </c>
    </row>
    <row r="58" spans="1:3" ht="16.5" thickBot="1" x14ac:dyDescent="0.3">
      <c r="A58" s="6" t="s">
        <v>23</v>
      </c>
      <c r="B58" s="2">
        <v>2017</v>
      </c>
      <c r="C58" s="2">
        <f t="shared" si="3"/>
        <v>3243391</v>
      </c>
    </row>
    <row r="59" spans="1:3" ht="16.5" thickBot="1" x14ac:dyDescent="0.3">
      <c r="A59" s="6" t="s">
        <v>23</v>
      </c>
      <c r="B59" s="2">
        <v>2018</v>
      </c>
      <c r="C59" s="2">
        <f t="shared" si="3"/>
        <v>3202896</v>
      </c>
    </row>
    <row r="60" spans="1:3" ht="16.5" thickBot="1" x14ac:dyDescent="0.3">
      <c r="A60" s="6" t="s">
        <v>23</v>
      </c>
      <c r="B60" s="2">
        <v>2019</v>
      </c>
      <c r="C60" s="2">
        <f t="shared" si="3"/>
        <v>3639871</v>
      </c>
    </row>
    <row r="61" spans="1:3" ht="16.5" thickBot="1" x14ac:dyDescent="0.3">
      <c r="A61" s="6" t="s">
        <v>23</v>
      </c>
      <c r="B61" s="2">
        <v>2020</v>
      </c>
      <c r="C61" s="2">
        <f t="shared" si="3"/>
        <v>2816001</v>
      </c>
    </row>
    <row r="62" spans="1:3" ht="16.5" thickBot="1" x14ac:dyDescent="0.3">
      <c r="A62" s="6" t="s">
        <v>24</v>
      </c>
      <c r="B62" s="2">
        <v>2015</v>
      </c>
      <c r="C62" s="2">
        <f>IF(A62=$A$7,HLOOKUP(B62,$A$2:$G$36,6,0))</f>
        <v>53419020</v>
      </c>
    </row>
    <row r="63" spans="1:3" ht="16.5" thickBot="1" x14ac:dyDescent="0.3">
      <c r="A63" s="6" t="s">
        <v>24</v>
      </c>
      <c r="B63" s="2">
        <v>2016</v>
      </c>
      <c r="C63" s="2">
        <f t="shared" ref="C63:C67" si="4">IF(A63=$A$7,HLOOKUP(B63,$A$2:$G$36,6,0))</f>
        <v>59392458</v>
      </c>
    </row>
    <row r="64" spans="1:3" ht="16.5" thickBot="1" x14ac:dyDescent="0.3">
      <c r="A64" s="6" t="s">
        <v>24</v>
      </c>
      <c r="B64" s="2">
        <v>2017</v>
      </c>
      <c r="C64" s="2">
        <f t="shared" si="4"/>
        <v>73535704</v>
      </c>
    </row>
    <row r="65" spans="1:3" ht="16.5" thickBot="1" x14ac:dyDescent="0.3">
      <c r="A65" s="6" t="s">
        <v>24</v>
      </c>
      <c r="B65" s="2">
        <v>2018</v>
      </c>
      <c r="C65" s="2">
        <f t="shared" si="4"/>
        <v>78671228</v>
      </c>
    </row>
    <row r="66" spans="1:3" ht="16.5" thickBot="1" x14ac:dyDescent="0.3">
      <c r="A66" s="6" t="s">
        <v>24</v>
      </c>
      <c r="B66" s="2">
        <v>2019</v>
      </c>
      <c r="C66" s="2">
        <f t="shared" si="4"/>
        <v>89088352</v>
      </c>
    </row>
    <row r="67" spans="1:3" ht="16.5" thickBot="1" x14ac:dyDescent="0.3">
      <c r="A67" s="6" t="s">
        <v>24</v>
      </c>
      <c r="B67" s="2">
        <v>2020</v>
      </c>
      <c r="C67" s="2">
        <f t="shared" si="4"/>
        <v>61469821</v>
      </c>
    </row>
    <row r="68" spans="1:3" ht="16.5" thickBot="1" x14ac:dyDescent="0.3">
      <c r="A68" s="6" t="s">
        <v>25</v>
      </c>
      <c r="B68" s="2">
        <v>2015</v>
      </c>
      <c r="C68" s="2">
        <f>IF(A68=$A$8,HLOOKUP(B68,$A$2:$G$36,7,0))</f>
        <v>1476327</v>
      </c>
    </row>
    <row r="69" spans="1:3" ht="16.5" thickBot="1" x14ac:dyDescent="0.3">
      <c r="A69" s="6" t="s">
        <v>25</v>
      </c>
      <c r="B69" s="2">
        <v>2016</v>
      </c>
      <c r="C69" s="2">
        <f t="shared" ref="C69:C73" si="5">IF(A69=$A$8,HLOOKUP(B69,$A$2:$G$36,7,0))</f>
        <v>1652704</v>
      </c>
    </row>
    <row r="70" spans="1:3" ht="16.5" thickBot="1" x14ac:dyDescent="0.3">
      <c r="A70" s="6" t="s">
        <v>25</v>
      </c>
      <c r="B70" s="2">
        <v>2017</v>
      </c>
      <c r="C70" s="2">
        <f t="shared" si="5"/>
        <v>1829857</v>
      </c>
    </row>
    <row r="71" spans="1:3" ht="16.5" thickBot="1" x14ac:dyDescent="0.3">
      <c r="A71" s="6" t="s">
        <v>25</v>
      </c>
      <c r="B71" s="2">
        <v>2018</v>
      </c>
      <c r="C71" s="2">
        <f t="shared" si="5"/>
        <v>1889286</v>
      </c>
    </row>
    <row r="72" spans="1:3" ht="16.5" thickBot="1" x14ac:dyDescent="0.3">
      <c r="A72" s="6" t="s">
        <v>25</v>
      </c>
      <c r="B72" s="2">
        <v>2019</v>
      </c>
      <c r="C72" s="2">
        <f t="shared" si="5"/>
        <v>1955667</v>
      </c>
    </row>
    <row r="73" spans="1:3" ht="16.5" thickBot="1" x14ac:dyDescent="0.3">
      <c r="A73" s="6" t="s">
        <v>25</v>
      </c>
      <c r="B73" s="2">
        <v>2020</v>
      </c>
      <c r="C73" s="2">
        <f t="shared" si="5"/>
        <v>1948827</v>
      </c>
    </row>
    <row r="74" spans="1:3" ht="16.5" thickBot="1" x14ac:dyDescent="0.3">
      <c r="A74" s="6" t="s">
        <v>26</v>
      </c>
      <c r="B74" s="2">
        <v>2015</v>
      </c>
      <c r="C74" s="2">
        <f>IF(A74=$A$9,HLOOKUP(B74,$A$2:$G$36,8,0))</f>
        <v>3604245</v>
      </c>
    </row>
    <row r="75" spans="1:3" ht="16.5" thickBot="1" x14ac:dyDescent="0.3">
      <c r="A75" s="6" t="s">
        <v>26</v>
      </c>
      <c r="B75" s="2">
        <v>2016</v>
      </c>
      <c r="C75" s="2">
        <f t="shared" ref="C75:C79" si="6">IF(A75=$A$9,HLOOKUP(B75,$A$2:$G$36,8,0))</f>
        <v>3381885</v>
      </c>
    </row>
    <row r="76" spans="1:3" ht="16.5" thickBot="1" x14ac:dyDescent="0.3">
      <c r="A76" s="6" t="s">
        <v>26</v>
      </c>
      <c r="B76" s="2">
        <v>2017</v>
      </c>
      <c r="C76" s="2">
        <f t="shared" si="6"/>
        <v>4583486</v>
      </c>
    </row>
    <row r="77" spans="1:3" ht="16.5" thickBot="1" x14ac:dyDescent="0.3">
      <c r="A77" s="6" t="s">
        <v>26</v>
      </c>
      <c r="B77" s="2">
        <v>2018</v>
      </c>
      <c r="C77" s="2">
        <f t="shared" si="6"/>
        <v>4869537</v>
      </c>
    </row>
    <row r="78" spans="1:3" ht="16.5" thickBot="1" x14ac:dyDescent="0.3">
      <c r="A78" s="6" t="s">
        <v>26</v>
      </c>
      <c r="B78" s="2">
        <v>2019</v>
      </c>
      <c r="C78" s="2">
        <f t="shared" si="6"/>
        <v>4828407</v>
      </c>
    </row>
    <row r="79" spans="1:3" ht="16.5" thickBot="1" x14ac:dyDescent="0.3">
      <c r="A79" s="6" t="s">
        <v>26</v>
      </c>
      <c r="B79" s="2">
        <v>2020</v>
      </c>
      <c r="C79" s="2">
        <f t="shared" si="6"/>
        <v>4820948</v>
      </c>
    </row>
    <row r="80" spans="1:3" ht="16.5" thickBot="1" x14ac:dyDescent="0.3">
      <c r="A80" s="6" t="s">
        <v>27</v>
      </c>
      <c r="B80" s="2">
        <v>2015</v>
      </c>
      <c r="C80" s="2">
        <f>IF(A80=$A$10,HLOOKUP(B80,$A$2:$G$36,9,0))</f>
        <v>28561853</v>
      </c>
    </row>
    <row r="81" spans="1:3" ht="16.5" thickBot="1" x14ac:dyDescent="0.3">
      <c r="A81" s="6" t="s">
        <v>27</v>
      </c>
      <c r="B81" s="2">
        <v>2016</v>
      </c>
      <c r="C81" s="2">
        <f t="shared" ref="C81:C85" si="7">IF(A81=$A$10,HLOOKUP(B81,$A$2:$G$36,9,0))</f>
        <v>31344462</v>
      </c>
    </row>
    <row r="82" spans="1:3" ht="16.5" thickBot="1" x14ac:dyDescent="0.3">
      <c r="A82" s="6" t="s">
        <v>27</v>
      </c>
      <c r="B82" s="2">
        <v>2017</v>
      </c>
      <c r="C82" s="2">
        <f t="shared" si="7"/>
        <v>35512081</v>
      </c>
    </row>
    <row r="83" spans="1:3" ht="16.5" thickBot="1" x14ac:dyDescent="0.3">
      <c r="A83" s="6" t="s">
        <v>27</v>
      </c>
      <c r="B83" s="2">
        <v>2018</v>
      </c>
      <c r="C83" s="2">
        <f t="shared" si="7"/>
        <v>36482715</v>
      </c>
    </row>
    <row r="84" spans="1:3" ht="16.5" thickBot="1" x14ac:dyDescent="0.3">
      <c r="A84" s="6" t="s">
        <v>27</v>
      </c>
      <c r="B84" s="2">
        <v>2019</v>
      </c>
      <c r="C84" s="2">
        <f t="shared" si="7"/>
        <v>37132309</v>
      </c>
    </row>
    <row r="85" spans="1:3" ht="16.5" thickBot="1" x14ac:dyDescent="0.3">
      <c r="A85" s="6" t="s">
        <v>27</v>
      </c>
      <c r="B85" s="2">
        <v>2020</v>
      </c>
      <c r="C85" s="2">
        <f t="shared" si="7"/>
        <v>39376316</v>
      </c>
    </row>
    <row r="86" spans="1:3" ht="16.5" thickBot="1" x14ac:dyDescent="0.3">
      <c r="A86" s="6" t="s">
        <v>28</v>
      </c>
      <c r="B86" s="2">
        <v>2015</v>
      </c>
      <c r="C86" s="2">
        <f>IF(A86=$A$11,HLOOKUP(B86,$A$2:$G$36,10,0))</f>
        <v>18517591</v>
      </c>
    </row>
    <row r="87" spans="1:3" ht="16.5" thickBot="1" x14ac:dyDescent="0.3">
      <c r="A87" s="6" t="s">
        <v>28</v>
      </c>
      <c r="B87" s="2">
        <v>2016</v>
      </c>
      <c r="C87" s="2">
        <f t="shared" ref="C87:C91" si="8">IF(A87=$A$11,HLOOKUP(B87,$A$2:$G$36,10,0))</f>
        <v>20050498</v>
      </c>
    </row>
    <row r="88" spans="1:3" ht="16.5" thickBot="1" x14ac:dyDescent="0.3">
      <c r="A88" s="6" t="s">
        <v>28</v>
      </c>
      <c r="B88" s="2">
        <v>2017</v>
      </c>
      <c r="C88" s="2">
        <f t="shared" si="8"/>
        <v>24349750</v>
      </c>
    </row>
    <row r="89" spans="1:3" ht="16.5" thickBot="1" x14ac:dyDescent="0.3">
      <c r="A89" s="6" t="s">
        <v>28</v>
      </c>
      <c r="B89" s="2">
        <v>2018</v>
      </c>
      <c r="C89" s="2">
        <f t="shared" si="8"/>
        <v>26231235</v>
      </c>
    </row>
    <row r="90" spans="1:3" ht="16.5" thickBot="1" x14ac:dyDescent="0.3">
      <c r="A90" s="6" t="s">
        <v>28</v>
      </c>
      <c r="B90" s="2">
        <v>2019</v>
      </c>
      <c r="C90" s="2">
        <f t="shared" si="8"/>
        <v>26652341</v>
      </c>
    </row>
    <row r="91" spans="1:3" ht="16.5" thickBot="1" x14ac:dyDescent="0.3">
      <c r="A91" s="6" t="s">
        <v>28</v>
      </c>
      <c r="B91" s="2">
        <v>2020</v>
      </c>
      <c r="C91" s="2">
        <f t="shared" si="8"/>
        <v>26513084</v>
      </c>
    </row>
    <row r="92" spans="1:3" ht="16.5" thickBot="1" x14ac:dyDescent="0.3">
      <c r="A92" s="6" t="s">
        <v>29</v>
      </c>
      <c r="B92" s="2">
        <v>2015</v>
      </c>
      <c r="C92" s="2">
        <f>IF(A92=$A$12,HLOOKUP(B92,$A$2:$G$36,11,0))</f>
        <v>24678649</v>
      </c>
    </row>
    <row r="93" spans="1:3" ht="16.5" thickBot="1" x14ac:dyDescent="0.3">
      <c r="A93" s="6" t="s">
        <v>29</v>
      </c>
      <c r="B93" s="2">
        <v>2016</v>
      </c>
      <c r="C93" s="2">
        <f t="shared" ref="C93:C97" si="9">IF(A93=$A$12,HLOOKUP(B93,$A$2:$G$36,11,0))</f>
        <v>26527236</v>
      </c>
    </row>
    <row r="94" spans="1:3" ht="16.5" thickBot="1" x14ac:dyDescent="0.3">
      <c r="A94" s="6" t="s">
        <v>29</v>
      </c>
      <c r="B94" s="2">
        <v>2017</v>
      </c>
      <c r="C94" s="2">
        <f t="shared" si="9"/>
        <v>31851420</v>
      </c>
    </row>
    <row r="95" spans="1:3" ht="16.5" thickBot="1" x14ac:dyDescent="0.3">
      <c r="A95" s="6" t="s">
        <v>29</v>
      </c>
      <c r="B95" s="2">
        <v>2018</v>
      </c>
      <c r="C95" s="2">
        <f t="shared" si="9"/>
        <v>35289761</v>
      </c>
    </row>
    <row r="96" spans="1:3" ht="16.5" thickBot="1" x14ac:dyDescent="0.3">
      <c r="A96" s="6" t="s">
        <v>29</v>
      </c>
      <c r="B96" s="2">
        <v>2019</v>
      </c>
      <c r="C96" s="2">
        <f t="shared" si="9"/>
        <v>33843734</v>
      </c>
    </row>
    <row r="97" spans="1:3" ht="16.5" thickBot="1" x14ac:dyDescent="0.3">
      <c r="A97" s="6" t="s">
        <v>29</v>
      </c>
      <c r="B97" s="2">
        <v>2020</v>
      </c>
      <c r="C97" s="2">
        <f t="shared" si="9"/>
        <v>36022542</v>
      </c>
    </row>
    <row r="98" spans="1:3" ht="16.5" thickBot="1" x14ac:dyDescent="0.3">
      <c r="A98" s="6" t="s">
        <v>30</v>
      </c>
      <c r="B98" s="2">
        <v>2015</v>
      </c>
      <c r="C98" s="2">
        <f>IF(A98=$A$13,HLOOKUP(B98,$A$2:$G$36,12,0))</f>
        <v>4207748</v>
      </c>
    </row>
    <row r="99" spans="1:3" ht="16.5" thickBot="1" x14ac:dyDescent="0.3">
      <c r="A99" s="6" t="s">
        <v>30</v>
      </c>
      <c r="B99" s="2">
        <v>2016</v>
      </c>
      <c r="C99" s="2">
        <f t="shared" ref="C99:C103" si="10">IF(A99=$A$13,HLOOKUP(B99,$A$2:$G$36,12,0))</f>
        <v>4503518</v>
      </c>
    </row>
    <row r="100" spans="1:3" ht="16.5" thickBot="1" x14ac:dyDescent="0.3">
      <c r="A100" s="6" t="s">
        <v>30</v>
      </c>
      <c r="B100" s="2">
        <v>2017</v>
      </c>
      <c r="C100" s="2">
        <f t="shared" si="10"/>
        <v>5562103</v>
      </c>
    </row>
    <row r="101" spans="1:3" ht="16.5" thickBot="1" x14ac:dyDescent="0.3">
      <c r="A101" s="6" t="s">
        <v>30</v>
      </c>
      <c r="B101" s="2">
        <v>2018</v>
      </c>
      <c r="C101" s="2">
        <f t="shared" si="10"/>
        <v>5872181</v>
      </c>
    </row>
    <row r="102" spans="1:3" ht="16.5" thickBot="1" x14ac:dyDescent="0.3">
      <c r="A102" s="6" t="s">
        <v>30</v>
      </c>
      <c r="B102" s="2">
        <v>2019</v>
      </c>
      <c r="C102" s="2">
        <f t="shared" si="10"/>
        <v>5910666</v>
      </c>
    </row>
    <row r="103" spans="1:3" ht="16.5" thickBot="1" x14ac:dyDescent="0.3">
      <c r="A103" s="6" t="s">
        <v>30</v>
      </c>
      <c r="B103" s="2">
        <v>2020</v>
      </c>
      <c r="C103" s="2">
        <f t="shared" si="10"/>
        <v>6242375</v>
      </c>
    </row>
    <row r="104" spans="1:3" ht="16.5" thickBot="1" x14ac:dyDescent="0.3">
      <c r="A104" s="6" t="s">
        <v>31</v>
      </c>
      <c r="B104" s="2">
        <v>2015</v>
      </c>
      <c r="C104" s="2">
        <f>IF(A104=$A$14,HLOOKUP(B104,$A$2:$G$36,13,0))</f>
        <v>5500274</v>
      </c>
    </row>
    <row r="105" spans="1:3" ht="16.5" thickBot="1" x14ac:dyDescent="0.3">
      <c r="A105" s="6" t="s">
        <v>31</v>
      </c>
      <c r="B105" s="2">
        <v>2016</v>
      </c>
      <c r="C105" s="2">
        <f t="shared" ref="C105:C109" si="11">IF(A105=$A$14,HLOOKUP(B105,$A$2:$G$36,13,0))</f>
        <v>5600689</v>
      </c>
    </row>
    <row r="106" spans="1:3" ht="16.5" thickBot="1" x14ac:dyDescent="0.3">
      <c r="A106" s="6" t="s">
        <v>31</v>
      </c>
      <c r="B106" s="2">
        <v>2017</v>
      </c>
      <c r="C106" s="2">
        <f t="shared" si="11"/>
        <v>6002245</v>
      </c>
    </row>
    <row r="107" spans="1:3" ht="16.5" thickBot="1" x14ac:dyDescent="0.3">
      <c r="A107" s="6" t="s">
        <v>31</v>
      </c>
      <c r="B107" s="2">
        <v>2018</v>
      </c>
      <c r="C107" s="2">
        <f t="shared" si="11"/>
        <v>6722887</v>
      </c>
    </row>
    <row r="108" spans="1:3" ht="16.5" thickBot="1" x14ac:dyDescent="0.3">
      <c r="A108" s="6" t="s">
        <v>31</v>
      </c>
      <c r="B108" s="2">
        <v>2019</v>
      </c>
      <c r="C108" s="2">
        <f t="shared" si="11"/>
        <v>7031946</v>
      </c>
    </row>
    <row r="109" spans="1:3" ht="16.5" thickBot="1" x14ac:dyDescent="0.3">
      <c r="A109" s="6" t="s">
        <v>31</v>
      </c>
      <c r="B109" s="2">
        <v>2020</v>
      </c>
      <c r="C109" s="2">
        <f t="shared" si="11"/>
        <v>6879065</v>
      </c>
    </row>
    <row r="110" spans="1:3" ht="16.5" thickBot="1" x14ac:dyDescent="0.3">
      <c r="A110" s="6" t="s">
        <v>32</v>
      </c>
      <c r="B110" s="2">
        <v>2015</v>
      </c>
      <c r="C110" s="2">
        <f>IF(A110=$A$15,HLOOKUP(B110,$A$2:$G$36,14,0))</f>
        <v>3546929</v>
      </c>
    </row>
    <row r="111" spans="1:3" ht="16.5" thickBot="1" x14ac:dyDescent="0.3">
      <c r="A111" s="6" t="s">
        <v>32</v>
      </c>
      <c r="B111" s="2">
        <v>2016</v>
      </c>
      <c r="C111" s="2">
        <f t="shared" ref="C111:C115" si="12">IF(A111=$A$15,HLOOKUP(B111,$A$2:$G$36,14,0))</f>
        <v>3587855</v>
      </c>
    </row>
    <row r="112" spans="1:3" ht="16.5" thickBot="1" x14ac:dyDescent="0.3">
      <c r="A112" s="6" t="s">
        <v>32</v>
      </c>
      <c r="B112" s="2">
        <v>2017</v>
      </c>
      <c r="C112" s="2">
        <f t="shared" si="12"/>
        <v>4412596</v>
      </c>
    </row>
    <row r="113" spans="1:3" ht="16.5" thickBot="1" x14ac:dyDescent="0.3">
      <c r="A113" s="6" t="s">
        <v>32</v>
      </c>
      <c r="B113" s="2">
        <v>2018</v>
      </c>
      <c r="C113" s="2">
        <f t="shared" si="12"/>
        <v>5250300</v>
      </c>
    </row>
    <row r="114" spans="1:3" ht="16.5" thickBot="1" x14ac:dyDescent="0.3">
      <c r="A114" s="6" t="s">
        <v>32</v>
      </c>
      <c r="B114" s="2">
        <v>2019</v>
      </c>
      <c r="C114" s="2">
        <f t="shared" si="12"/>
        <v>5456290</v>
      </c>
    </row>
    <row r="115" spans="1:3" ht="16.5" thickBot="1" x14ac:dyDescent="0.3">
      <c r="A115" s="6" t="s">
        <v>32</v>
      </c>
      <c r="B115" s="2">
        <v>2020</v>
      </c>
      <c r="C115" s="2">
        <f t="shared" si="12"/>
        <v>5377960</v>
      </c>
    </row>
    <row r="116" spans="1:3" ht="16.5" thickBot="1" x14ac:dyDescent="0.3">
      <c r="A116" s="6" t="s">
        <v>33</v>
      </c>
      <c r="B116" s="2">
        <v>2015</v>
      </c>
      <c r="C116" s="2">
        <f>IF(A116=$A$16,HLOOKUP(B116,$A$2:$G$36,15,0))</f>
        <v>9376313</v>
      </c>
    </row>
    <row r="117" spans="1:3" ht="16.5" thickBot="1" x14ac:dyDescent="0.3">
      <c r="A117" s="6" t="s">
        <v>33</v>
      </c>
      <c r="B117" s="2">
        <v>2016</v>
      </c>
      <c r="C117" s="2">
        <f t="shared" ref="C117:C121" si="13">IF(A117=$A$16,HLOOKUP(B117,$A$2:$G$36,15,0))</f>
        <v>8212409</v>
      </c>
    </row>
    <row r="118" spans="1:3" ht="16.5" thickBot="1" x14ac:dyDescent="0.3">
      <c r="A118" s="6" t="s">
        <v>33</v>
      </c>
      <c r="B118" s="2">
        <v>2017</v>
      </c>
      <c r="C118" s="2">
        <f t="shared" si="13"/>
        <v>8765868</v>
      </c>
    </row>
    <row r="119" spans="1:3" ht="16.5" thickBot="1" x14ac:dyDescent="0.3">
      <c r="A119" s="6" t="s">
        <v>33</v>
      </c>
      <c r="B119" s="2">
        <v>2018</v>
      </c>
      <c r="C119" s="2">
        <f t="shared" si="13"/>
        <v>11210808</v>
      </c>
    </row>
    <row r="120" spans="1:3" ht="16.5" thickBot="1" x14ac:dyDescent="0.3">
      <c r="A120" s="6" t="s">
        <v>33</v>
      </c>
      <c r="B120" s="2">
        <v>2019</v>
      </c>
      <c r="C120" s="2">
        <f t="shared" si="13"/>
        <v>10769670</v>
      </c>
    </row>
    <row r="121" spans="1:3" ht="16.5" thickBot="1" x14ac:dyDescent="0.3">
      <c r="A121" s="6" t="s">
        <v>33</v>
      </c>
      <c r="B121" s="2">
        <v>2020</v>
      </c>
      <c r="C121" s="2">
        <f t="shared" si="13"/>
        <v>12382489</v>
      </c>
    </row>
    <row r="122" spans="1:3" ht="16.5" thickBot="1" x14ac:dyDescent="0.3">
      <c r="A122" s="6" t="s">
        <v>34</v>
      </c>
      <c r="B122" s="2">
        <v>2015</v>
      </c>
      <c r="C122" s="2">
        <f>IF(A122=$A$17,HLOOKUP(B122,$A$2:$G$36,16,0))</f>
        <v>2628832</v>
      </c>
    </row>
    <row r="123" spans="1:3" ht="16.5" thickBot="1" x14ac:dyDescent="0.3">
      <c r="A123" s="6" t="s">
        <v>34</v>
      </c>
      <c r="B123" s="2">
        <v>2016</v>
      </c>
      <c r="C123" s="2">
        <f t="shared" ref="C123:C127" si="14">IF(A123=$A$17,HLOOKUP(B123,$A$2:$G$36,16,0))</f>
        <v>3068221</v>
      </c>
    </row>
    <row r="124" spans="1:3" ht="16.5" thickBot="1" x14ac:dyDescent="0.3">
      <c r="A124" s="6" t="s">
        <v>34</v>
      </c>
      <c r="B124" s="2">
        <v>2017</v>
      </c>
      <c r="C124" s="2">
        <f t="shared" si="14"/>
        <v>2585440</v>
      </c>
    </row>
    <row r="125" spans="1:3" ht="16.5" thickBot="1" x14ac:dyDescent="0.3">
      <c r="A125" s="6" t="s">
        <v>34</v>
      </c>
      <c r="B125" s="2">
        <v>2018</v>
      </c>
      <c r="C125" s="2">
        <f t="shared" si="14"/>
        <v>2560730</v>
      </c>
    </row>
    <row r="126" spans="1:3" ht="16.5" thickBot="1" x14ac:dyDescent="0.3">
      <c r="A126" s="6" t="s">
        <v>34</v>
      </c>
      <c r="B126" s="2">
        <v>2019</v>
      </c>
      <c r="C126" s="2">
        <f t="shared" si="14"/>
        <v>3005922</v>
      </c>
    </row>
    <row r="127" spans="1:3" ht="16.5" thickBot="1" x14ac:dyDescent="0.3">
      <c r="A127" s="6" t="s">
        <v>34</v>
      </c>
      <c r="B127" s="2">
        <v>2020</v>
      </c>
      <c r="C127" s="2">
        <f t="shared" si="14"/>
        <v>2778925</v>
      </c>
    </row>
    <row r="128" spans="1:3" ht="16.5" thickBot="1" x14ac:dyDescent="0.3">
      <c r="A128" s="6" t="s">
        <v>35</v>
      </c>
      <c r="B128" s="2">
        <v>2015</v>
      </c>
      <c r="C128" s="2">
        <f>IF(A128=$A$18,HLOOKUP(B128,$A$2:$G$36,17,0))</f>
        <v>2212653</v>
      </c>
    </row>
    <row r="129" spans="1:3" ht="16.5" thickBot="1" x14ac:dyDescent="0.3">
      <c r="A129" s="6" t="s">
        <v>35</v>
      </c>
      <c r="B129" s="2">
        <v>2016</v>
      </c>
      <c r="C129" s="2">
        <f t="shared" ref="C129:C133" si="15">IF(A129=$A$18,HLOOKUP(B129,$A$2:$G$36,17,0))</f>
        <v>2287560</v>
      </c>
    </row>
    <row r="130" spans="1:3" ht="16.5" thickBot="1" x14ac:dyDescent="0.3">
      <c r="A130" s="6" t="s">
        <v>35</v>
      </c>
      <c r="B130" s="2">
        <v>2017</v>
      </c>
      <c r="C130" s="2">
        <f t="shared" si="15"/>
        <v>2468717</v>
      </c>
    </row>
    <row r="131" spans="1:3" ht="16.5" thickBot="1" x14ac:dyDescent="0.3">
      <c r="A131" s="6" t="s">
        <v>35</v>
      </c>
      <c r="B131" s="2">
        <v>2018</v>
      </c>
      <c r="C131" s="2">
        <f t="shared" si="15"/>
        <v>2666617</v>
      </c>
    </row>
    <row r="132" spans="1:3" ht="16.5" thickBot="1" x14ac:dyDescent="0.3">
      <c r="A132" s="6" t="s">
        <v>35</v>
      </c>
      <c r="B132" s="2">
        <v>2019</v>
      </c>
      <c r="C132" s="2">
        <f t="shared" si="15"/>
        <v>2962022</v>
      </c>
    </row>
    <row r="133" spans="1:3" ht="16.5" thickBot="1" x14ac:dyDescent="0.3">
      <c r="A133" s="6" t="s">
        <v>35</v>
      </c>
      <c r="B133" s="2">
        <v>2020</v>
      </c>
      <c r="C133" s="2">
        <f t="shared" si="15"/>
        <v>2624707</v>
      </c>
    </row>
    <row r="134" spans="1:3" ht="16.5" thickBot="1" x14ac:dyDescent="0.3">
      <c r="A134" s="6" t="s">
        <v>36</v>
      </c>
      <c r="B134" s="2">
        <v>2015</v>
      </c>
      <c r="C134" s="2">
        <f>IF(A134=$A$19,HLOOKUP(B134,$A$2:$G$36,18,0))</f>
        <v>2649778</v>
      </c>
    </row>
    <row r="135" spans="1:3" ht="16.5" thickBot="1" x14ac:dyDescent="0.3">
      <c r="A135" s="6" t="s">
        <v>36</v>
      </c>
      <c r="B135" s="2">
        <v>2016</v>
      </c>
      <c r="C135" s="2">
        <f t="shared" ref="C135:C139" si="16">IF(A135=$A$19,HLOOKUP(B135,$A$2:$G$36,18,0))</f>
        <v>2852614</v>
      </c>
    </row>
    <row r="136" spans="1:3" ht="16.5" thickBot="1" x14ac:dyDescent="0.3">
      <c r="A136" s="6" t="s">
        <v>36</v>
      </c>
      <c r="B136" s="2">
        <v>2017</v>
      </c>
      <c r="C136" s="2">
        <f t="shared" si="16"/>
        <v>3525102</v>
      </c>
    </row>
    <row r="137" spans="1:3" ht="16.5" thickBot="1" x14ac:dyDescent="0.3">
      <c r="A137" s="6" t="s">
        <v>36</v>
      </c>
      <c r="B137" s="2">
        <v>2018</v>
      </c>
      <c r="C137" s="2">
        <f t="shared" si="16"/>
        <v>3499838</v>
      </c>
    </row>
    <row r="138" spans="1:3" ht="16.5" thickBot="1" x14ac:dyDescent="0.3">
      <c r="A138" s="6" t="s">
        <v>36</v>
      </c>
      <c r="B138" s="2">
        <v>2019</v>
      </c>
      <c r="C138" s="2">
        <f t="shared" si="16"/>
        <v>3659564</v>
      </c>
    </row>
    <row r="139" spans="1:3" ht="16.5" thickBot="1" x14ac:dyDescent="0.3">
      <c r="A139" s="6" t="s">
        <v>36</v>
      </c>
      <c r="B139" s="2">
        <v>2020</v>
      </c>
      <c r="C139" s="2">
        <f t="shared" si="16"/>
        <v>3919807</v>
      </c>
    </row>
    <row r="140" spans="1:3" ht="16.5" thickBot="1" x14ac:dyDescent="0.3">
      <c r="A140" s="6" t="s">
        <v>37</v>
      </c>
      <c r="B140" s="2">
        <v>2015</v>
      </c>
      <c r="C140" s="2">
        <f>IF(A140=$A$20,HLOOKUP(B140,$A$2:$G$36,19,0))</f>
        <v>4898783</v>
      </c>
    </row>
    <row r="141" spans="1:3" ht="16.5" thickBot="1" x14ac:dyDescent="0.3">
      <c r="A141" s="6" t="s">
        <v>37</v>
      </c>
      <c r="B141" s="2">
        <v>2016</v>
      </c>
      <c r="C141" s="2">
        <f t="shared" ref="C141:C145" si="17">IF(A141=$A$20,HLOOKUP(B141,$A$2:$G$36,19,0))</f>
        <v>5691235</v>
      </c>
    </row>
    <row r="142" spans="1:3" ht="16.5" thickBot="1" x14ac:dyDescent="0.3">
      <c r="A142" s="6" t="s">
        <v>37</v>
      </c>
      <c r="B142" s="2">
        <v>2017</v>
      </c>
      <c r="C142" s="2">
        <f t="shared" si="17"/>
        <v>7017855</v>
      </c>
    </row>
    <row r="143" spans="1:3" ht="16.5" thickBot="1" x14ac:dyDescent="0.3">
      <c r="A143" s="6" t="s">
        <v>37</v>
      </c>
      <c r="B143" s="2">
        <v>2018</v>
      </c>
      <c r="C143" s="2">
        <f t="shared" si="17"/>
        <v>7633026</v>
      </c>
    </row>
    <row r="144" spans="1:3" ht="16.5" thickBot="1" x14ac:dyDescent="0.3">
      <c r="A144" s="6" t="s">
        <v>37</v>
      </c>
      <c r="B144" s="2">
        <v>2019</v>
      </c>
      <c r="C144" s="2">
        <f t="shared" si="17"/>
        <v>7807923</v>
      </c>
    </row>
    <row r="145" spans="1:3" ht="16.5" thickBot="1" x14ac:dyDescent="0.3">
      <c r="A145" s="6" t="s">
        <v>37</v>
      </c>
      <c r="B145" s="2">
        <v>2020</v>
      </c>
      <c r="C145" s="2">
        <f t="shared" si="17"/>
        <v>7355451</v>
      </c>
    </row>
    <row r="146" spans="1:3" ht="16.5" thickBot="1" x14ac:dyDescent="0.3">
      <c r="A146" s="6" t="s">
        <v>38</v>
      </c>
      <c r="B146" s="2">
        <v>2015</v>
      </c>
      <c r="C146" s="2">
        <f>IF(A146=$A$21,HLOOKUP(B146,$A$2:$G$36,20,0))</f>
        <v>2304537</v>
      </c>
    </row>
    <row r="147" spans="1:3" ht="16.5" thickBot="1" x14ac:dyDescent="0.3">
      <c r="A147" s="6" t="s">
        <v>38</v>
      </c>
      <c r="B147" s="2">
        <v>2016</v>
      </c>
      <c r="C147" s="2">
        <f t="shared" ref="C147:C151" si="18">IF(A147=$A$21,HLOOKUP(B147,$A$2:$G$36,20,0))</f>
        <v>2831652</v>
      </c>
    </row>
    <row r="148" spans="1:3" ht="16.5" thickBot="1" x14ac:dyDescent="0.3">
      <c r="A148" s="6" t="s">
        <v>38</v>
      </c>
      <c r="B148" s="2">
        <v>2017</v>
      </c>
      <c r="C148" s="2">
        <f t="shared" si="18"/>
        <v>2845812</v>
      </c>
    </row>
    <row r="149" spans="1:3" ht="16.5" thickBot="1" x14ac:dyDescent="0.3">
      <c r="A149" s="6" t="s">
        <v>38</v>
      </c>
      <c r="B149" s="2">
        <v>2018</v>
      </c>
      <c r="C149" s="2">
        <f t="shared" si="18"/>
        <v>3083520</v>
      </c>
    </row>
    <row r="150" spans="1:3" ht="16.5" thickBot="1" x14ac:dyDescent="0.3">
      <c r="A150" s="6" t="s">
        <v>38</v>
      </c>
      <c r="B150" s="2">
        <v>2019</v>
      </c>
      <c r="C150" s="2">
        <f t="shared" si="18"/>
        <v>3230500</v>
      </c>
    </row>
    <row r="151" spans="1:3" ht="16.5" thickBot="1" x14ac:dyDescent="0.3">
      <c r="A151" s="6" t="s">
        <v>38</v>
      </c>
      <c r="B151" s="2">
        <v>2020</v>
      </c>
      <c r="C151" s="2">
        <f t="shared" si="18"/>
        <v>3384152</v>
      </c>
    </row>
    <row r="152" spans="1:3" ht="16.5" thickBot="1" x14ac:dyDescent="0.3">
      <c r="A152" s="6" t="s">
        <v>39</v>
      </c>
      <c r="B152" s="2">
        <v>2015</v>
      </c>
      <c r="C152" s="2">
        <f>IF(A152=$A$22,HLOOKUP(B152,$A$2:$G$36,21,0))</f>
        <v>1856130</v>
      </c>
    </row>
    <row r="153" spans="1:3" ht="16.5" thickBot="1" x14ac:dyDescent="0.3">
      <c r="A153" s="6" t="s">
        <v>39</v>
      </c>
      <c r="B153" s="2">
        <v>2016</v>
      </c>
      <c r="C153" s="2">
        <f t="shared" ref="C153:C157" si="19">IF(A153=$A$22,HLOOKUP(B153,$A$2:$G$36,21,0))</f>
        <v>2061128</v>
      </c>
    </row>
    <row r="154" spans="1:3" ht="16.5" thickBot="1" x14ac:dyDescent="0.3">
      <c r="A154" s="6" t="s">
        <v>39</v>
      </c>
      <c r="B154" s="2">
        <v>2017</v>
      </c>
      <c r="C154" s="2">
        <f t="shared" si="19"/>
        <v>2312013</v>
      </c>
    </row>
    <row r="155" spans="1:3" ht="16.5" thickBot="1" x14ac:dyDescent="0.3">
      <c r="A155" s="6" t="s">
        <v>39</v>
      </c>
      <c r="B155" s="2">
        <v>2018</v>
      </c>
      <c r="C155" s="2">
        <f t="shared" si="19"/>
        <v>2516318</v>
      </c>
    </row>
    <row r="156" spans="1:3" ht="16.5" thickBot="1" x14ac:dyDescent="0.3">
      <c r="A156" s="6" t="s">
        <v>39</v>
      </c>
      <c r="B156" s="2">
        <v>2019</v>
      </c>
      <c r="C156" s="2">
        <f t="shared" si="19"/>
        <v>2762086</v>
      </c>
    </row>
    <row r="157" spans="1:3" ht="16.5" thickBot="1" x14ac:dyDescent="0.3">
      <c r="A157" s="6" t="s">
        <v>39</v>
      </c>
      <c r="B157" s="2">
        <v>2020</v>
      </c>
      <c r="C157" s="2">
        <f t="shared" si="19"/>
        <v>2750139</v>
      </c>
    </row>
    <row r="158" spans="1:3" ht="16.5" thickBot="1" x14ac:dyDescent="0.3">
      <c r="A158" s="6" t="s">
        <v>40</v>
      </c>
      <c r="B158" s="2">
        <v>2015</v>
      </c>
      <c r="C158" s="2">
        <f>IF(A158=$A$23,HLOOKUP(B158,$A$2:$G$36,22,0))</f>
        <v>3647334</v>
      </c>
    </row>
    <row r="159" spans="1:3" ht="16.5" thickBot="1" x14ac:dyDescent="0.3">
      <c r="A159" s="6" t="s">
        <v>40</v>
      </c>
      <c r="B159" s="2">
        <v>2016</v>
      </c>
      <c r="C159" s="2">
        <f t="shared" ref="C159:C163" si="20">IF(A159=$A$23,HLOOKUP(B159,$A$2:$G$36,22,0))</f>
        <v>4148660</v>
      </c>
    </row>
    <row r="160" spans="1:3" ht="16.5" thickBot="1" x14ac:dyDescent="0.3">
      <c r="A160" s="6" t="s">
        <v>40</v>
      </c>
      <c r="B160" s="2">
        <v>2017</v>
      </c>
      <c r="C160" s="2">
        <f t="shared" si="20"/>
        <v>5421933</v>
      </c>
    </row>
    <row r="161" spans="1:3" ht="16.5" thickBot="1" x14ac:dyDescent="0.3">
      <c r="A161" s="6" t="s">
        <v>40</v>
      </c>
      <c r="B161" s="2">
        <v>2018</v>
      </c>
      <c r="C161" s="2">
        <f t="shared" si="20"/>
        <v>5334651</v>
      </c>
    </row>
    <row r="162" spans="1:3" ht="16.5" thickBot="1" x14ac:dyDescent="0.3">
      <c r="A162" s="6" t="s">
        <v>40</v>
      </c>
      <c r="B162" s="2">
        <v>2019</v>
      </c>
      <c r="C162" s="2">
        <f t="shared" si="20"/>
        <v>5273582</v>
      </c>
    </row>
    <row r="163" spans="1:3" ht="16.5" thickBot="1" x14ac:dyDescent="0.3">
      <c r="A163" s="6" t="s">
        <v>40</v>
      </c>
      <c r="B163" s="2">
        <v>2020</v>
      </c>
      <c r="C163" s="2">
        <f t="shared" si="20"/>
        <v>5368329</v>
      </c>
    </row>
    <row r="164" spans="1:3" ht="16.5" thickBot="1" x14ac:dyDescent="0.3">
      <c r="A164" s="6" t="s">
        <v>41</v>
      </c>
      <c r="B164" s="2">
        <v>2015</v>
      </c>
      <c r="C164" s="2">
        <f>IF(A164=$A$24,HLOOKUP(B164,$A$2:$G$36,23,0))</f>
        <v>3570228</v>
      </c>
    </row>
    <row r="165" spans="1:3" ht="16.5" thickBot="1" x14ac:dyDescent="0.3">
      <c r="A165" s="6" t="s">
        <v>41</v>
      </c>
      <c r="B165" s="2">
        <v>2016</v>
      </c>
      <c r="C165" s="2">
        <f t="shared" ref="C165:C169" si="21">IF(A165=$A$24,HLOOKUP(B165,$A$2:$G$36,23,0))</f>
        <v>4040760</v>
      </c>
    </row>
    <row r="166" spans="1:3" ht="16.5" thickBot="1" x14ac:dyDescent="0.3">
      <c r="A166" s="6" t="s">
        <v>41</v>
      </c>
      <c r="B166" s="2">
        <v>2017</v>
      </c>
      <c r="C166" s="2">
        <f t="shared" si="21"/>
        <v>4987989</v>
      </c>
    </row>
    <row r="167" spans="1:3" ht="16.5" thickBot="1" x14ac:dyDescent="0.3">
      <c r="A167" s="6" t="s">
        <v>41</v>
      </c>
      <c r="B167" s="2">
        <v>2018</v>
      </c>
      <c r="C167" s="2">
        <f t="shared" si="21"/>
        <v>5059885</v>
      </c>
    </row>
    <row r="168" spans="1:3" ht="16.5" thickBot="1" x14ac:dyDescent="0.3">
      <c r="A168" s="6" t="s">
        <v>41</v>
      </c>
      <c r="B168" s="2">
        <v>2019</v>
      </c>
      <c r="C168" s="2">
        <f t="shared" si="21"/>
        <v>5448447</v>
      </c>
    </row>
    <row r="169" spans="1:3" ht="16.5" thickBot="1" x14ac:dyDescent="0.3">
      <c r="A169" s="6" t="s">
        <v>41</v>
      </c>
      <c r="B169" s="2">
        <v>2020</v>
      </c>
      <c r="C169" s="2">
        <f t="shared" si="21"/>
        <v>5850641</v>
      </c>
    </row>
    <row r="170" spans="1:3" ht="16.5" thickBot="1" x14ac:dyDescent="0.3">
      <c r="A170" s="6" t="s">
        <v>42</v>
      </c>
      <c r="B170" s="2">
        <v>2015</v>
      </c>
      <c r="C170" s="2">
        <f>IF(A170=$A$25,HLOOKUP(B170,$A$2:$G$36,24,0))</f>
        <v>12986632</v>
      </c>
    </row>
    <row r="171" spans="1:3" ht="16.5" thickBot="1" x14ac:dyDescent="0.3">
      <c r="A171" s="6" t="s">
        <v>42</v>
      </c>
      <c r="B171" s="2">
        <v>2016</v>
      </c>
      <c r="C171" s="2">
        <f t="shared" ref="C171:C175" si="22">IF(A171=$A$25,HLOOKUP(B171,$A$2:$G$36,24,0))</f>
        <v>13071335</v>
      </c>
    </row>
    <row r="172" spans="1:3" ht="16.5" thickBot="1" x14ac:dyDescent="0.3">
      <c r="A172" s="6" t="s">
        <v>42</v>
      </c>
      <c r="B172" s="2">
        <v>2017</v>
      </c>
      <c r="C172" s="2">
        <f t="shared" si="22"/>
        <v>14016057</v>
      </c>
    </row>
    <row r="173" spans="1:3" ht="16.5" thickBot="1" x14ac:dyDescent="0.3">
      <c r="A173" s="6" t="s">
        <v>42</v>
      </c>
      <c r="B173" s="2">
        <v>2018</v>
      </c>
      <c r="C173" s="2">
        <f t="shared" si="22"/>
        <v>14134105</v>
      </c>
    </row>
    <row r="174" spans="1:3" ht="16.5" thickBot="1" x14ac:dyDescent="0.3">
      <c r="A174" s="6" t="s">
        <v>42</v>
      </c>
      <c r="B174" s="2">
        <v>2019</v>
      </c>
      <c r="C174" s="2">
        <f t="shared" si="22"/>
        <v>13978118</v>
      </c>
    </row>
    <row r="175" spans="1:3" ht="16.5" thickBot="1" x14ac:dyDescent="0.3">
      <c r="A175" s="6" t="s">
        <v>42</v>
      </c>
      <c r="B175" s="2">
        <v>2020</v>
      </c>
      <c r="C175" s="2">
        <f t="shared" si="22"/>
        <v>15527559</v>
      </c>
    </row>
    <row r="176" spans="1:3" ht="16.5" thickBot="1" x14ac:dyDescent="0.3">
      <c r="A176" s="6" t="s">
        <v>43</v>
      </c>
      <c r="B176" s="2">
        <v>2015</v>
      </c>
      <c r="C176" s="2">
        <f>IF(A176=$A$26,HLOOKUP(B176,$A$2:$G$36,25,0))</f>
        <v>7506270</v>
      </c>
    </row>
    <row r="177" spans="1:3" ht="16.5" thickBot="1" x14ac:dyDescent="0.3">
      <c r="A177" s="6" t="s">
        <v>43</v>
      </c>
      <c r="B177" s="2">
        <v>2016</v>
      </c>
      <c r="C177" s="2">
        <f t="shared" ref="C177:C181" si="23">IF(A177=$A$26,HLOOKUP(B177,$A$2:$G$36,25,0))</f>
        <v>7257003</v>
      </c>
    </row>
    <row r="178" spans="1:3" ht="16.5" thickBot="1" x14ac:dyDescent="0.3">
      <c r="A178" s="6" t="s">
        <v>43</v>
      </c>
      <c r="B178" s="2">
        <v>2017</v>
      </c>
      <c r="C178" s="2">
        <f t="shared" si="23"/>
        <v>7839000</v>
      </c>
    </row>
    <row r="179" spans="1:3" ht="16.5" thickBot="1" x14ac:dyDescent="0.3">
      <c r="A179" s="6" t="s">
        <v>43</v>
      </c>
      <c r="B179" s="2">
        <v>2018</v>
      </c>
      <c r="C179" s="2">
        <f t="shared" si="23"/>
        <v>8098275</v>
      </c>
    </row>
    <row r="180" spans="1:3" ht="16.5" thickBot="1" x14ac:dyDescent="0.3">
      <c r="A180" s="6" t="s">
        <v>43</v>
      </c>
      <c r="B180" s="2">
        <v>2019</v>
      </c>
      <c r="C180" s="2">
        <f t="shared" si="23"/>
        <v>8729203</v>
      </c>
    </row>
    <row r="181" spans="1:3" ht="16.5" thickBot="1" x14ac:dyDescent="0.3">
      <c r="A181" s="6" t="s">
        <v>43</v>
      </c>
      <c r="B181" s="2">
        <v>2020</v>
      </c>
      <c r="C181" s="2">
        <f t="shared" si="23"/>
        <v>11572152</v>
      </c>
    </row>
    <row r="182" spans="1:3" ht="16.5" thickBot="1" x14ac:dyDescent="0.3">
      <c r="A182" s="6" t="s">
        <v>44</v>
      </c>
      <c r="B182" s="2">
        <v>2015</v>
      </c>
      <c r="C182" s="2">
        <f>IF(A182=$A$27,HLOOKUP(B182,$A$2:$G$36,26,0))</f>
        <v>10892856</v>
      </c>
    </row>
    <row r="183" spans="1:3" ht="16.5" thickBot="1" x14ac:dyDescent="0.3">
      <c r="A183" s="6" t="s">
        <v>44</v>
      </c>
      <c r="B183" s="2">
        <v>2016</v>
      </c>
      <c r="C183" s="2">
        <f t="shared" ref="C183:C187" si="24">IF(A183=$A$27,HLOOKUP(B183,$A$2:$G$36,26,0))</f>
        <v>10075133</v>
      </c>
    </row>
    <row r="184" spans="1:3" ht="16.5" thickBot="1" x14ac:dyDescent="0.3">
      <c r="A184" s="6" t="s">
        <v>44</v>
      </c>
      <c r="B184" s="2">
        <v>2017</v>
      </c>
      <c r="C184" s="2">
        <f t="shared" si="24"/>
        <v>9247194</v>
      </c>
    </row>
    <row r="185" spans="1:3" ht="16.5" thickBot="1" x14ac:dyDescent="0.3">
      <c r="A185" s="6" t="s">
        <v>44</v>
      </c>
      <c r="B185" s="2">
        <v>2018</v>
      </c>
      <c r="C185" s="2">
        <f t="shared" si="24"/>
        <v>8537823</v>
      </c>
    </row>
    <row r="186" spans="1:3" ht="16.5" thickBot="1" x14ac:dyDescent="0.3">
      <c r="A186" s="6" t="s">
        <v>44</v>
      </c>
      <c r="B186" s="2">
        <v>2019</v>
      </c>
      <c r="C186" s="2">
        <f t="shared" si="24"/>
        <v>9179049</v>
      </c>
    </row>
    <row r="187" spans="1:3" ht="16.5" thickBot="1" x14ac:dyDescent="0.3">
      <c r="A187" s="6" t="s">
        <v>44</v>
      </c>
      <c r="B187" s="2">
        <v>2020</v>
      </c>
      <c r="C187" s="2">
        <f t="shared" si="24"/>
        <v>8704391</v>
      </c>
    </row>
    <row r="188" spans="1:3" ht="16.5" thickBot="1" x14ac:dyDescent="0.3">
      <c r="A188" s="6" t="s">
        <v>45</v>
      </c>
      <c r="B188" s="2">
        <v>2015</v>
      </c>
      <c r="C188" s="2">
        <f>IF(A188=$A$28,HLOOKUP(B188,$A$2:$G$36,27,0))</f>
        <v>1473750</v>
      </c>
    </row>
    <row r="189" spans="1:3" ht="16.5" thickBot="1" x14ac:dyDescent="0.3">
      <c r="A189" s="6" t="s">
        <v>45</v>
      </c>
      <c r="B189" s="2">
        <v>2016</v>
      </c>
      <c r="C189" s="2">
        <f t="shared" ref="C189:C193" si="25">IF(A189=$A$28,HLOOKUP(B189,$A$2:$G$36,27,0))</f>
        <v>1814445</v>
      </c>
    </row>
    <row r="190" spans="1:3" ht="16.5" thickBot="1" x14ac:dyDescent="0.3">
      <c r="A190" s="6" t="s">
        <v>45</v>
      </c>
      <c r="B190" s="2">
        <v>2017</v>
      </c>
      <c r="C190" s="2">
        <f t="shared" si="25"/>
        <v>1977195</v>
      </c>
    </row>
    <row r="191" spans="1:3" ht="16.5" thickBot="1" x14ac:dyDescent="0.3">
      <c r="A191" s="6" t="s">
        <v>45</v>
      </c>
      <c r="B191" s="2">
        <v>2018</v>
      </c>
      <c r="C191" s="2">
        <f t="shared" si="25"/>
        <v>1907106</v>
      </c>
    </row>
    <row r="192" spans="1:3" ht="16.5" thickBot="1" x14ac:dyDescent="0.3">
      <c r="A192" s="6" t="s">
        <v>45</v>
      </c>
      <c r="B192" s="2">
        <v>2019</v>
      </c>
      <c r="C192" s="2">
        <f t="shared" si="25"/>
        <v>2135482</v>
      </c>
    </row>
    <row r="193" spans="1:3" ht="16.5" thickBot="1" x14ac:dyDescent="0.3">
      <c r="A193" s="6" t="s">
        <v>45</v>
      </c>
      <c r="B193" s="2">
        <v>2020</v>
      </c>
      <c r="C193" s="2">
        <f t="shared" si="25"/>
        <v>2140482</v>
      </c>
    </row>
    <row r="194" spans="1:3" ht="16.5" thickBot="1" x14ac:dyDescent="0.3">
      <c r="A194" s="6" t="s">
        <v>46</v>
      </c>
      <c r="B194" s="2">
        <v>2015</v>
      </c>
      <c r="C194" s="2">
        <f>IF(A194=$A$29,HLOOKUP(B194,$A$2:$G$36,28,0))</f>
        <v>6415560</v>
      </c>
    </row>
    <row r="195" spans="1:3" ht="16.5" thickBot="1" x14ac:dyDescent="0.3">
      <c r="A195" s="6" t="s">
        <v>46</v>
      </c>
      <c r="B195" s="2">
        <v>2016</v>
      </c>
      <c r="C195" s="2">
        <f t="shared" ref="C195:C199" si="26">IF(A195=$A$29,HLOOKUP(B195,$A$2:$G$36,28,0))</f>
        <v>7292544</v>
      </c>
    </row>
    <row r="196" spans="1:3" ht="16.5" thickBot="1" x14ac:dyDescent="0.3">
      <c r="A196" s="6" t="s">
        <v>46</v>
      </c>
      <c r="B196" s="2">
        <v>2017</v>
      </c>
      <c r="C196" s="2">
        <f t="shared" si="26"/>
        <v>9220495</v>
      </c>
    </row>
    <row r="197" spans="1:3" ht="16.5" thickBot="1" x14ac:dyDescent="0.3">
      <c r="A197" s="6" t="s">
        <v>46</v>
      </c>
      <c r="B197" s="2">
        <v>2018</v>
      </c>
      <c r="C197" s="2">
        <f t="shared" si="26"/>
        <v>9444558</v>
      </c>
    </row>
    <row r="198" spans="1:3" ht="16.5" thickBot="1" x14ac:dyDescent="0.3">
      <c r="A198" s="6" t="s">
        <v>46</v>
      </c>
      <c r="B198" s="2">
        <v>2019</v>
      </c>
      <c r="C198" s="2">
        <f t="shared" si="26"/>
        <v>10099897</v>
      </c>
    </row>
    <row r="199" spans="1:3" ht="16.5" thickBot="1" x14ac:dyDescent="0.3">
      <c r="A199" s="6" t="s">
        <v>46</v>
      </c>
      <c r="B199" s="2">
        <v>2020</v>
      </c>
      <c r="C199" s="2">
        <f t="shared" si="26"/>
        <v>10374681</v>
      </c>
    </row>
    <row r="200" spans="1:3" ht="16.5" thickBot="1" x14ac:dyDescent="0.3">
      <c r="A200" s="6" t="s">
        <v>47</v>
      </c>
      <c r="B200" s="2">
        <v>2015</v>
      </c>
      <c r="C200" s="2">
        <f>IF(A200=$A$30,HLOOKUP(B200,$A$2:$G$36,29,0))</f>
        <v>3037418</v>
      </c>
    </row>
    <row r="201" spans="1:3" ht="16.5" thickBot="1" x14ac:dyDescent="0.3">
      <c r="A201" s="6" t="s">
        <v>47</v>
      </c>
      <c r="B201" s="2">
        <v>2016</v>
      </c>
      <c r="C201" s="2">
        <f t="shared" ref="C201:C205" si="27">IF(A201=$A$30,HLOOKUP(B201,$A$2:$G$36,29,0))</f>
        <v>3253130</v>
      </c>
    </row>
    <row r="202" spans="1:3" ht="16.5" thickBot="1" x14ac:dyDescent="0.3">
      <c r="A202" s="6" t="s">
        <v>47</v>
      </c>
      <c r="B202" s="2">
        <v>2017</v>
      </c>
      <c r="C202" s="2">
        <f t="shared" si="27"/>
        <v>3708728</v>
      </c>
    </row>
    <row r="203" spans="1:3" ht="16.5" thickBot="1" x14ac:dyDescent="0.3">
      <c r="A203" s="6" t="s">
        <v>47</v>
      </c>
      <c r="B203" s="2">
        <v>2018</v>
      </c>
      <c r="C203" s="2">
        <f t="shared" si="27"/>
        <v>4106732</v>
      </c>
    </row>
    <row r="204" spans="1:3" ht="16.5" thickBot="1" x14ac:dyDescent="0.3">
      <c r="A204" s="6" t="s">
        <v>47</v>
      </c>
      <c r="B204" s="2">
        <v>2019</v>
      </c>
      <c r="C204" s="2">
        <f t="shared" si="27"/>
        <v>4323326</v>
      </c>
    </row>
    <row r="205" spans="1:3" ht="16.5" thickBot="1" x14ac:dyDescent="0.3">
      <c r="A205" s="6" t="s">
        <v>47</v>
      </c>
      <c r="B205" s="2">
        <v>2020</v>
      </c>
      <c r="C205" s="2">
        <f t="shared" si="27"/>
        <v>4623258</v>
      </c>
    </row>
    <row r="206" spans="1:3" ht="16.5" thickBot="1" x14ac:dyDescent="0.3">
      <c r="A206" s="6" t="s">
        <v>48</v>
      </c>
      <c r="B206" s="2">
        <v>2015</v>
      </c>
      <c r="C206" s="2">
        <f>IF(A206=$A$31,HLOOKUP(B206,$A$2:$G$36,30,0))</f>
        <v>2886690</v>
      </c>
    </row>
    <row r="207" spans="1:3" ht="16.5" thickBot="1" x14ac:dyDescent="0.3">
      <c r="A207" s="6" t="s">
        <v>48</v>
      </c>
      <c r="B207" s="2">
        <v>2016</v>
      </c>
      <c r="C207" s="2">
        <f t="shared" ref="C207:C211" si="28">IF(A207=$A$31,HLOOKUP(B207,$A$2:$G$36,30,0))</f>
        <v>3260316</v>
      </c>
    </row>
    <row r="208" spans="1:3" ht="16.5" thickBot="1" x14ac:dyDescent="0.3">
      <c r="A208" s="6" t="s">
        <v>48</v>
      </c>
      <c r="B208" s="2">
        <v>2017</v>
      </c>
      <c r="C208" s="2">
        <f t="shared" si="28"/>
        <v>4033244</v>
      </c>
    </row>
    <row r="209" spans="1:3" ht="16.5" thickBot="1" x14ac:dyDescent="0.3">
      <c r="A209" s="6" t="s">
        <v>48</v>
      </c>
      <c r="B209" s="2">
        <v>2018</v>
      </c>
      <c r="C209" s="2">
        <f t="shared" si="28"/>
        <v>4138218</v>
      </c>
    </row>
    <row r="210" spans="1:3" ht="16.5" thickBot="1" x14ac:dyDescent="0.3">
      <c r="A210" s="6" t="s">
        <v>48</v>
      </c>
      <c r="B210" s="2">
        <v>2019</v>
      </c>
      <c r="C210" s="2">
        <f t="shared" si="28"/>
        <v>4310571</v>
      </c>
    </row>
    <row r="211" spans="1:3" ht="16.5" thickBot="1" x14ac:dyDescent="0.3">
      <c r="A211" s="6" t="s">
        <v>48</v>
      </c>
      <c r="B211" s="2">
        <v>2020</v>
      </c>
      <c r="C211" s="2">
        <f t="shared" si="28"/>
        <v>4576359</v>
      </c>
    </row>
    <row r="212" spans="1:3" ht="16.5" thickBot="1" x14ac:dyDescent="0.3">
      <c r="A212" s="6" t="s">
        <v>49</v>
      </c>
      <c r="B212" s="2">
        <v>2015</v>
      </c>
      <c r="C212" s="2">
        <f>IF(A212=$A$32,HLOOKUP(B212,$A$2:$G$36,31,0))</f>
        <v>2818668</v>
      </c>
    </row>
    <row r="213" spans="1:3" ht="16.5" thickBot="1" x14ac:dyDescent="0.3">
      <c r="A213" s="6" t="s">
        <v>49</v>
      </c>
      <c r="B213" s="2">
        <v>2016</v>
      </c>
      <c r="C213" s="2">
        <f t="shared" ref="C213:C217" si="29">IF(A213=$A$32,HLOOKUP(B213,$A$2:$G$36,31,0))</f>
        <v>2985770</v>
      </c>
    </row>
    <row r="214" spans="1:3" ht="16.5" thickBot="1" x14ac:dyDescent="0.3">
      <c r="A214" s="6" t="s">
        <v>49</v>
      </c>
      <c r="B214" s="2">
        <v>2017</v>
      </c>
      <c r="C214" s="2">
        <f t="shared" si="29"/>
        <v>3891527</v>
      </c>
    </row>
    <row r="215" spans="1:3" ht="16.5" thickBot="1" x14ac:dyDescent="0.3">
      <c r="A215" s="6" t="s">
        <v>49</v>
      </c>
      <c r="B215" s="2">
        <v>2018</v>
      </c>
      <c r="C215" s="2">
        <f t="shared" si="29"/>
        <v>4080736</v>
      </c>
    </row>
    <row r="216" spans="1:3" ht="16.5" thickBot="1" x14ac:dyDescent="0.3">
      <c r="A216" s="6" t="s">
        <v>49</v>
      </c>
      <c r="B216" s="2">
        <v>2019</v>
      </c>
      <c r="C216" s="2">
        <f t="shared" si="29"/>
        <v>4524486</v>
      </c>
    </row>
    <row r="217" spans="1:3" ht="16.5" thickBot="1" x14ac:dyDescent="0.3">
      <c r="A217" s="6" t="s">
        <v>49</v>
      </c>
      <c r="B217" s="2">
        <v>2020</v>
      </c>
      <c r="C217" s="2">
        <f t="shared" si="29"/>
        <v>4640155</v>
      </c>
    </row>
    <row r="218" spans="1:3" ht="16.5" thickBot="1" x14ac:dyDescent="0.3">
      <c r="A218" s="6" t="s">
        <v>50</v>
      </c>
      <c r="B218" s="2">
        <v>2015</v>
      </c>
      <c r="C218" s="2">
        <f>IF(A218=$A$33,HLOOKUP(B218,$A$2:$G$36,32,0))</f>
        <v>4326354</v>
      </c>
    </row>
    <row r="219" spans="1:3" ht="16.5" thickBot="1" x14ac:dyDescent="0.3">
      <c r="A219" s="6" t="s">
        <v>50</v>
      </c>
      <c r="B219" s="2">
        <v>2016</v>
      </c>
      <c r="C219" s="2">
        <f t="shared" ref="C219:C223" si="30">IF(A219=$A$33,HLOOKUP(B219,$A$2:$G$36,32,0))</f>
        <v>4876172</v>
      </c>
    </row>
    <row r="220" spans="1:3" ht="16.5" thickBot="1" x14ac:dyDescent="0.3">
      <c r="A220" s="6" t="s">
        <v>50</v>
      </c>
      <c r="B220" s="2">
        <v>2017</v>
      </c>
      <c r="C220" s="2">
        <f t="shared" si="30"/>
        <v>6363961</v>
      </c>
    </row>
    <row r="221" spans="1:3" ht="16.5" thickBot="1" x14ac:dyDescent="0.3">
      <c r="A221" s="6" t="s">
        <v>50</v>
      </c>
      <c r="B221" s="2">
        <v>2018</v>
      </c>
      <c r="C221" s="2">
        <f t="shared" si="30"/>
        <v>6822712</v>
      </c>
    </row>
    <row r="222" spans="1:3" ht="16.5" thickBot="1" x14ac:dyDescent="0.3">
      <c r="A222" s="6" t="s">
        <v>50</v>
      </c>
      <c r="B222" s="2">
        <v>2019</v>
      </c>
      <c r="C222" s="2">
        <f t="shared" si="30"/>
        <v>7150369</v>
      </c>
    </row>
    <row r="223" spans="1:3" ht="16.5" thickBot="1" x14ac:dyDescent="0.3">
      <c r="A223" s="6" t="s">
        <v>50</v>
      </c>
      <c r="B223" s="2">
        <v>2020</v>
      </c>
      <c r="C223" s="2">
        <f t="shared" si="30"/>
        <v>6701552</v>
      </c>
    </row>
    <row r="224" spans="1:3" ht="16.5" thickBot="1" x14ac:dyDescent="0.3">
      <c r="A224" s="6" t="s">
        <v>51</v>
      </c>
      <c r="B224" s="2">
        <v>2015</v>
      </c>
      <c r="C224" s="2">
        <f>IF(A224=$A$34,HLOOKUP(B224,$A$2:$G$36,33,0))</f>
        <v>6030394</v>
      </c>
    </row>
    <row r="225" spans="1:3" ht="16.5" thickBot="1" x14ac:dyDescent="0.3">
      <c r="A225" s="6" t="s">
        <v>51</v>
      </c>
      <c r="B225" s="2">
        <v>2016</v>
      </c>
      <c r="C225" s="2">
        <f t="shared" ref="C225:C229" si="31">IF(A225=$A$34,HLOOKUP(B225,$A$2:$G$36,33,0))</f>
        <v>6627642</v>
      </c>
    </row>
    <row r="226" spans="1:3" ht="16.5" thickBot="1" x14ac:dyDescent="0.3">
      <c r="A226" s="6" t="s">
        <v>51</v>
      </c>
      <c r="B226" s="2">
        <v>2017</v>
      </c>
      <c r="C226" s="2">
        <f t="shared" si="31"/>
        <v>8260827</v>
      </c>
    </row>
    <row r="227" spans="1:3" ht="16.5" thickBot="1" x14ac:dyDescent="0.3">
      <c r="A227" s="6" t="s">
        <v>51</v>
      </c>
      <c r="B227" s="2">
        <v>2018</v>
      </c>
      <c r="C227" s="2">
        <f t="shared" si="31"/>
        <v>9182301</v>
      </c>
    </row>
    <row r="228" spans="1:3" ht="16.5" thickBot="1" x14ac:dyDescent="0.3">
      <c r="A228" s="6" t="s">
        <v>51</v>
      </c>
      <c r="B228" s="2">
        <v>2019</v>
      </c>
      <c r="C228" s="2">
        <f t="shared" si="31"/>
        <v>9713473</v>
      </c>
    </row>
    <row r="229" spans="1:3" ht="16.5" thickBot="1" x14ac:dyDescent="0.3">
      <c r="A229" s="6" t="s">
        <v>51</v>
      </c>
      <c r="B229" s="2">
        <v>2020</v>
      </c>
      <c r="C229" s="2">
        <f t="shared" si="31"/>
        <v>9753498</v>
      </c>
    </row>
    <row r="230" spans="1:3" ht="16.5" thickBot="1" x14ac:dyDescent="0.3">
      <c r="A230" s="6" t="s">
        <v>52</v>
      </c>
      <c r="B230" s="2">
        <v>2015</v>
      </c>
      <c r="C230" s="2">
        <f>IF(A230=$A$35,HLOOKUP(B230,$A$2:$G$36,34,0))</f>
        <v>8495657</v>
      </c>
    </row>
    <row r="231" spans="1:3" ht="16.5" thickBot="1" x14ac:dyDescent="0.3">
      <c r="A231" s="6" t="s">
        <v>52</v>
      </c>
      <c r="B231" s="2">
        <v>2016</v>
      </c>
      <c r="C231" s="2">
        <f t="shared" ref="C231:C235" si="32">IF(A231=$A$35,HLOOKUP(B231,$A$2:$G$36,34,0))</f>
        <v>10976895</v>
      </c>
    </row>
    <row r="232" spans="1:3" ht="16.5" thickBot="1" x14ac:dyDescent="0.3">
      <c r="A232" s="6" t="s">
        <v>52</v>
      </c>
      <c r="B232" s="2">
        <v>2017</v>
      </c>
      <c r="C232" s="2">
        <f t="shared" si="32"/>
        <v>13402544</v>
      </c>
    </row>
    <row r="233" spans="1:3" ht="16.5" thickBot="1" x14ac:dyDescent="0.3">
      <c r="A233" s="6" t="s">
        <v>52</v>
      </c>
      <c r="B233" s="2">
        <v>2018</v>
      </c>
      <c r="C233" s="2">
        <f t="shared" si="32"/>
        <v>13544555</v>
      </c>
    </row>
    <row r="234" spans="1:3" ht="16.5" thickBot="1" x14ac:dyDescent="0.3">
      <c r="A234" s="6" t="s">
        <v>52</v>
      </c>
      <c r="B234" s="2">
        <v>2019</v>
      </c>
      <c r="C234" s="2">
        <f t="shared" si="32"/>
        <v>15827753</v>
      </c>
    </row>
    <row r="235" spans="1:3" ht="16.5" thickBot="1" x14ac:dyDescent="0.3">
      <c r="A235" s="6" t="s">
        <v>52</v>
      </c>
      <c r="B235" s="2">
        <v>2020</v>
      </c>
      <c r="C235" s="2">
        <f t="shared" si="32"/>
        <v>13252957</v>
      </c>
    </row>
    <row r="236" spans="1:3" ht="16.5" thickBot="1" x14ac:dyDescent="0.3">
      <c r="A236" s="6" t="s">
        <v>53</v>
      </c>
      <c r="B236" s="2">
        <v>2015</v>
      </c>
      <c r="C236" s="2">
        <f>IF(A236=$A$36,HLOOKUP(B236,$A$2:$G$36,35,0))</f>
        <v>3911108</v>
      </c>
    </row>
    <row r="237" spans="1:3" ht="16.5" thickBot="1" x14ac:dyDescent="0.3">
      <c r="A237" s="6" t="s">
        <v>53</v>
      </c>
      <c r="B237" s="2">
        <v>2016</v>
      </c>
      <c r="C237" s="2">
        <f t="shared" ref="C237:C241" si="33">IF(A237=$A$36,HLOOKUP(B237,$A$2:$G$36,35,0))</f>
        <v>4270073</v>
      </c>
    </row>
    <row r="238" spans="1:3" ht="16.5" thickBot="1" x14ac:dyDescent="0.3">
      <c r="A238" s="6" t="s">
        <v>53</v>
      </c>
      <c r="B238" s="2">
        <v>2017</v>
      </c>
      <c r="C238" s="2">
        <f t="shared" si="33"/>
        <v>5279617</v>
      </c>
    </row>
    <row r="239" spans="1:3" ht="16.5" thickBot="1" x14ac:dyDescent="0.3">
      <c r="A239" s="6" t="s">
        <v>53</v>
      </c>
      <c r="B239" s="2">
        <v>2018</v>
      </c>
      <c r="C239" s="2">
        <f t="shared" si="33"/>
        <v>5790571</v>
      </c>
    </row>
    <row r="240" spans="1:3" ht="16.5" thickBot="1" x14ac:dyDescent="0.3">
      <c r="A240" s="6" t="s">
        <v>53</v>
      </c>
      <c r="B240" s="2">
        <v>2019</v>
      </c>
      <c r="C240" s="2">
        <f t="shared" si="33"/>
        <v>6149113</v>
      </c>
    </row>
    <row r="241" spans="1:3" ht="16.5" thickBot="1" x14ac:dyDescent="0.3">
      <c r="A241" s="6" t="s">
        <v>53</v>
      </c>
      <c r="B241" s="2">
        <v>2020</v>
      </c>
      <c r="C241" s="2">
        <f t="shared" si="33"/>
        <v>6035224</v>
      </c>
    </row>
  </sheetData>
  <sortState ref="I3:O36">
    <sortCondition ref="I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Perhitungan IHDI</vt:lpstr>
      <vt:lpstr>IHDI 2015 - 2020</vt:lpstr>
      <vt:lpstr>Panel Data</vt:lpstr>
      <vt:lpstr>DOMINV</vt:lpstr>
      <vt:lpstr>FORINV</vt:lpstr>
      <vt:lpstr>GOVEX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Achmad FA</dc:creator>
  <cp:lastModifiedBy>Achmad FA</cp:lastModifiedBy>
  <dcterms:created xsi:type="dcterms:W3CDTF">2022-05-25T08:49:07Z</dcterms:created>
  <dcterms:modified xsi:type="dcterms:W3CDTF">2022-09-09T10:40:05Z</dcterms:modified>
</cp:coreProperties>
</file>